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0" yWindow="0" windowWidth="20940" windowHeight="10000" tabRatio="707" activeTab="0"/>
  </bookViews>
  <sheets>
    <sheet name="simulation carrières" sheetId="1" r:id="rId1"/>
    <sheet name="GAP reclassement promo C en B" sheetId="2" state="hidden" r:id="rId2"/>
    <sheet name="PPCR en C et en B" sheetId="3" state="hidden" r:id="rId3"/>
    <sheet name="dates avancements en  C et B" sheetId="4" r:id="rId4"/>
    <sheet name="Notice d'utilisation" sheetId="5" r:id="rId5"/>
    <sheet name="déroulé en C et en B" sheetId="6" state="hidden" r:id="rId6"/>
    <sheet name="reclas promo CenB au 01_01_2016" sheetId="7" state="hidden" r:id="rId7"/>
    <sheet name="reclas PPCR C au 01_01_2017" sheetId="8" state="hidden" r:id="rId8"/>
    <sheet name="reclas PPCR B au 01_01_2017" sheetId="9" state="hidden" r:id="rId9"/>
  </sheets>
  <definedNames/>
  <calcPr fullCalcOnLoad="1"/>
</workbook>
</file>

<file path=xl/comments2.xml><?xml version="1.0" encoding="utf-8"?>
<comments xmlns="http://schemas.openxmlformats.org/spreadsheetml/2006/main">
  <authors>
    <author/>
  </authors>
  <commentList>
    <comment ref="J35" authorId="0">
      <text>
        <r>
          <rPr>
            <sz val="10"/>
            <rFont val="Arial"/>
            <family val="2"/>
          </rPr>
          <t>échelles 4 et 5</t>
        </r>
      </text>
    </comment>
  </commentList>
</comments>
</file>

<file path=xl/comments7.xml><?xml version="1.0" encoding="utf-8"?>
<comments xmlns="http://schemas.openxmlformats.org/spreadsheetml/2006/main">
  <authors>
    <author/>
  </authors>
  <commentList>
    <comment ref="J35" authorId="0">
      <text>
        <r>
          <rPr>
            <sz val="10"/>
            <rFont val="Arial"/>
            <family val="2"/>
          </rPr>
          <t>échelles 4 et 5</t>
        </r>
      </text>
    </comment>
  </commentList>
</comments>
</file>

<file path=xl/sharedStrings.xml><?xml version="1.0" encoding="utf-8"?>
<sst xmlns="http://schemas.openxmlformats.org/spreadsheetml/2006/main" count="907" uniqueCount="260">
  <si>
    <t>Valable àc du 1.02.2014</t>
  </si>
  <si>
    <t>NOM :</t>
  </si>
  <si>
    <t>à compléter</t>
  </si>
  <si>
    <t>II. - Les fonctionnaires appartenant à un corps ou un cadre d'emplois de catégorie C ou de même niveau
Qui détiennent un grade situé en échelle 6 sont classés conformément au tableau de correspondance ci-après :</t>
  </si>
  <si>
    <t>Prénom :</t>
  </si>
  <si>
    <t>GRADES ET ÉCHELONS</t>
  </si>
  <si>
    <t>Matricule :</t>
  </si>
  <si>
    <t>Mois</t>
  </si>
  <si>
    <t>Année</t>
  </si>
  <si>
    <t>Échelle 6</t>
  </si>
  <si>
    <t>Échelon dans le 1er grade</t>
  </si>
  <si>
    <t>Ancienneté conservée dans la limite de la durée d'échelon</t>
  </si>
  <si>
    <t>TSCDD</t>
  </si>
  <si>
    <t>Ratio à appliquer sur RA</t>
  </si>
  <si>
    <t>Année à ajouter au RA</t>
  </si>
  <si>
    <t>Plafond sur RA</t>
  </si>
  <si>
    <t>Durée dans l’échelon en mois</t>
  </si>
  <si>
    <t>1 an</t>
  </si>
  <si>
    <t>Échelle du grade détenu en catégorie C</t>
  </si>
  <si>
    <t>2 ans</t>
  </si>
  <si>
    <t>Date d’effet</t>
  </si>
  <si>
    <t>A</t>
  </si>
  <si>
    <t>M</t>
  </si>
  <si>
    <t>J</t>
  </si>
  <si>
    <t>3 ans</t>
  </si>
  <si>
    <t>en jours</t>
  </si>
  <si>
    <t>Date d’effet de la nomination</t>
  </si>
  <si>
    <t>TSPDD</t>
  </si>
  <si>
    <t xml:space="preserve">III. - Les fonctionnaires appartenant à un corps ou un cadre d'emplois de catégorie C ou de même niveau
Qui détiennent un grade situé en échelle 5, 4 ou 3 sont classés conformément au tableau de correspondance ci-après : </t>
  </si>
  <si>
    <t>Reliquat d’ancienneté à prendre en compte</t>
  </si>
  <si>
    <t>Échelle 3, 4 ou 5</t>
  </si>
  <si>
    <t>seuil (en jours)</t>
  </si>
  <si>
    <t>Reliquat d’ancienneté provisoire (avec plafond)</t>
  </si>
  <si>
    <t>Ne tient pas compte de la limite dans le grade</t>
  </si>
  <si>
    <t>Test sur limite dans le grade</t>
  </si>
  <si>
    <t>Reliquat d’ancienneté à conserver</t>
  </si>
  <si>
    <t>Tient compte de la limite dans le grade</t>
  </si>
  <si>
    <t>échelon de classement sans tenir compte du RA</t>
  </si>
  <si>
    <t>4 ans</t>
  </si>
  <si>
    <r>
      <t>ÉCHELON dans le 1</t>
    </r>
    <r>
      <rPr>
        <vertAlign val="superscript"/>
        <sz val="10"/>
        <rFont val="Open Sans"/>
        <family val="2"/>
      </rPr>
      <t>er</t>
    </r>
    <r>
      <rPr>
        <sz val="10"/>
        <rFont val="Open Sans"/>
        <family val="2"/>
      </rPr>
      <t xml:space="preserve"> grade du corps des TSDD</t>
    </r>
  </si>
  <si>
    <t>TSDD</t>
  </si>
  <si>
    <t>Soit en jours</t>
  </si>
  <si>
    <t>Ratio à appliquer au-delà du seuil</t>
  </si>
  <si>
    <t>Reliquat d’ancienneté provisoire</t>
  </si>
  <si>
    <r>
      <t>ÉCHELON dans le 2</t>
    </r>
    <r>
      <rPr>
        <vertAlign val="superscript"/>
        <sz val="10"/>
        <rFont val="Open Sans"/>
        <family val="2"/>
      </rPr>
      <t>e</t>
    </r>
    <r>
      <rPr>
        <sz val="10"/>
        <rFont val="Open Sans"/>
        <family val="2"/>
      </rPr>
      <t xml:space="preserve"> grade du corps des TSDD</t>
    </r>
  </si>
  <si>
    <t>cat C</t>
  </si>
  <si>
    <t>Echelle 6</t>
  </si>
  <si>
    <t>C3</t>
  </si>
  <si>
    <t xml:space="preserve">Echelon </t>
  </si>
  <si>
    <t>IB</t>
  </si>
  <si>
    <t>IM</t>
  </si>
  <si>
    <t>durée de l'échelon</t>
  </si>
  <si>
    <t>ancienneté dans l'échelon</t>
  </si>
  <si>
    <r>
      <t>reclassement:</t>
    </r>
    <r>
      <rPr>
        <sz val="10"/>
        <rFont val="Arial"/>
        <family val="2"/>
      </rPr>
      <t xml:space="preserve"> ancienneté dans la limite de la durée de l'échelon</t>
    </r>
  </si>
  <si>
    <t>AA</t>
  </si>
  <si>
    <t>3/4 AA</t>
  </si>
  <si>
    <t>A = ou &gt; 18 mois</t>
  </si>
  <si>
    <t>4/3 AA au dela de 18 mois</t>
  </si>
  <si>
    <t>A &lt; 18 mois</t>
  </si>
  <si>
    <t>4/3 AA</t>
  </si>
  <si>
    <t>Ancienneté</t>
  </si>
  <si>
    <t>Ancienneté Aquise</t>
  </si>
  <si>
    <t>SA</t>
  </si>
  <si>
    <t>Sans Ancienneté</t>
  </si>
  <si>
    <t>cat B</t>
  </si>
  <si>
    <t>NES 1er grade</t>
  </si>
  <si>
    <t>B1</t>
  </si>
  <si>
    <t>A = ou &gt; 3 ans</t>
  </si>
  <si>
    <t>3*(AA - 3 ans)</t>
  </si>
  <si>
    <t>A &lt; 3 ans</t>
  </si>
  <si>
    <t>2/3 AA</t>
  </si>
  <si>
    <t>Echelle 6 2016</t>
  </si>
  <si>
    <t>C3 2018 et 2019</t>
  </si>
  <si>
    <t>NES 1er grade 2016</t>
  </si>
  <si>
    <t>B1 2018 et suivantes</t>
  </si>
  <si>
    <t>REPRENDRE LES INDICATIONS DU DERNIER ARRETE</t>
  </si>
  <si>
    <t>C3 2017</t>
  </si>
  <si>
    <t>C3 2020 et  suivantes</t>
  </si>
  <si>
    <t>B1 2017</t>
  </si>
  <si>
    <t>CARRIERE EN C</t>
  </si>
  <si>
    <t>CARRIERE EN B</t>
  </si>
  <si>
    <t>simplification calculs</t>
  </si>
  <si>
    <t>Echelon</t>
  </si>
  <si>
    <t>durée échelon</t>
  </si>
  <si>
    <t>date effet</t>
  </si>
  <si>
    <t>jusqu'au</t>
  </si>
  <si>
    <t>nbre mois</t>
  </si>
  <si>
    <t>à partir de 2017</t>
  </si>
  <si>
    <t>années de prise en compte de l'échelon</t>
  </si>
  <si>
    <t>pour mémoire</t>
  </si>
  <si>
    <t>ANNEES</t>
  </si>
  <si>
    <t>janvier</t>
  </si>
  <si>
    <t>février</t>
  </si>
  <si>
    <t>mars</t>
  </si>
  <si>
    <t>avril</t>
  </si>
  <si>
    <t>mai</t>
  </si>
  <si>
    <t>juin</t>
  </si>
  <si>
    <t>juillet</t>
  </si>
  <si>
    <t>août</t>
  </si>
  <si>
    <t>septembre</t>
  </si>
  <si>
    <t>octobre</t>
  </si>
  <si>
    <t>novembre</t>
  </si>
  <si>
    <t>décembre</t>
  </si>
  <si>
    <t>mois de décembre</t>
  </si>
  <si>
    <t>échelon</t>
  </si>
  <si>
    <t>NES3</t>
  </si>
  <si>
    <t>soit</t>
  </si>
  <si>
    <t>soit en cours d'année</t>
  </si>
  <si>
    <t>jours</t>
  </si>
  <si>
    <t>NES2</t>
  </si>
  <si>
    <r>
      <t>ÉCHELON dans le 1</t>
    </r>
    <r>
      <rPr>
        <vertAlign val="superscript"/>
        <sz val="10"/>
        <rFont val="Open Sans"/>
        <family val="2"/>
      </rPr>
      <t>er</t>
    </r>
    <r>
      <rPr>
        <sz val="10"/>
        <rFont val="Open Sans"/>
        <family val="2"/>
      </rPr>
      <t xml:space="preserve"> grade du NES</t>
    </r>
  </si>
  <si>
    <t>Reliquat d’ancienneté à prendre en compte (hors bonif)</t>
  </si>
  <si>
    <t>NES1</t>
  </si>
  <si>
    <t>Valable à compter du 01/01/2017</t>
  </si>
  <si>
    <t>II. - Les fonctionnaires appartenant à un corps ou un cadre d'emplois de catégorie C ou de même niveau
Qui détiennent un grade situé en échelle 6 sont classés en C3 conformément au tableau de correspondance ci-après :</t>
  </si>
  <si>
    <t>Durée échelon (en année)</t>
  </si>
  <si>
    <t>date prochain échelon</t>
  </si>
  <si>
    <t>RECAPITULATIF</t>
  </si>
  <si>
    <t>ECHELON</t>
  </si>
  <si>
    <t>Date d’effet du reclassement</t>
  </si>
  <si>
    <t>Ne tient pas compte de la limite dans l'échelon</t>
  </si>
  <si>
    <t>Tient compte de la limite dans l'échelon</t>
  </si>
  <si>
    <t>ÉCHELON dans le C3 au 01/01/2017</t>
  </si>
  <si>
    <t>Pour info:</t>
  </si>
  <si>
    <t>Echelle 6 jusqu'au 31/12/2016</t>
  </si>
  <si>
    <t>II. - Les fonctionnaires appartenant à un corps ou un cadre d'emplois de catégorie B ou de même niveau
Qui détiennent un grade situé en NES1 sont classés conformément au tableau de correspondance ci-après :</t>
  </si>
  <si>
    <t>ÉCHELON dans le B1 au 01/01/2017</t>
  </si>
  <si>
    <t>NES 1er grade jusqu'au 31/12/2016</t>
  </si>
  <si>
    <t>GAIN INDICIAIRE promo en B au 31/12 de l'année</t>
  </si>
  <si>
    <t>soit en euros au 31/12 de l'année</t>
  </si>
  <si>
    <t>annuel</t>
  </si>
  <si>
    <t>Régime indemnitaire annuel</t>
  </si>
  <si>
    <t>écart</t>
  </si>
  <si>
    <r>
      <t xml:space="preserve">AVERTISSEMENT 2
</t>
    </r>
    <r>
      <rPr>
        <sz val="12"/>
        <rFont val="Arial"/>
        <family val="2"/>
      </rPr>
      <t xml:space="preserve">
Les simulations de la calculette restent des simulations et ne confèrent </t>
    </r>
    <r>
      <rPr>
        <b/>
        <sz val="12"/>
        <rFont val="Arial"/>
        <family val="2"/>
      </rPr>
      <t>aucun droit à déroulement de carrière</t>
    </r>
    <r>
      <rPr>
        <sz val="12"/>
        <rFont val="Arial"/>
        <family val="2"/>
      </rPr>
      <t>.</t>
    </r>
  </si>
  <si>
    <t>cumulé</t>
  </si>
  <si>
    <t>Faut-il détricoter?</t>
  </si>
  <si>
    <t>nouvelle date d'effet</t>
  </si>
  <si>
    <t>nouvel échelon</t>
  </si>
  <si>
    <t>DATE EFFET</t>
  </si>
  <si>
    <t>RELIQUAT</t>
  </si>
  <si>
    <t>pm: pas de bonif à prendre en compte,</t>
  </si>
  <si>
    <t>pm: pas de bonif à prendre en compte, elles ont été comptabilisées</t>
  </si>
  <si>
    <t>dans le détricotage (la nouvelle date d'éffet, fictive, en tient compte)</t>
  </si>
  <si>
    <t>Date prochain échelon en C</t>
  </si>
  <si>
    <t>Y-a-t'il un échelon à prendre en C avant le 01/01/2016?</t>
  </si>
  <si>
    <t>à la prise d'échelon</t>
  </si>
  <si>
    <t>Y-a-t'il un échelon à prendre en C le 01/01/2016?</t>
  </si>
  <si>
    <t>Bonifs à prendre en compte</t>
  </si>
  <si>
    <t xml:space="preserve">  </t>
  </si>
  <si>
    <t>pm: bonif à prendre en compte,</t>
  </si>
  <si>
    <t>Reliquat d’ancienneté</t>
  </si>
  <si>
    <t>après</t>
  </si>
  <si>
    <t>NON</t>
  </si>
  <si>
    <t>par définition la date d'effet est &lt; 01/01/2017</t>
  </si>
  <si>
    <t>Y-a-t'il un échelon à prendre en C avant le 01/01/2017?</t>
  </si>
  <si>
    <t>Y-a-t'il un échelon à prendre en C le 01/01/2017?</t>
  </si>
  <si>
    <t>Y-a-t'il eu prise d'échelon en C concommitante (01/01/2016)?</t>
  </si>
  <si>
    <t>Y-a-t'il eu prise d'échelon en C concommitante (01/01/2017)?</t>
  </si>
  <si>
    <t>Le cas est-il "banal"?</t>
  </si>
  <si>
    <t xml:space="preserve"> bonifs (pour le seul cas "banal")</t>
  </si>
  <si>
    <r>
      <t xml:space="preserve">pm: pas de bonif à prendre en compte, elles ont été </t>
    </r>
    <r>
      <rPr>
        <b/>
        <sz val="10"/>
        <rFont val="Arial"/>
        <family val="2"/>
      </rPr>
      <t>dé</t>
    </r>
    <r>
      <rPr>
        <sz val="10"/>
        <rFont val="Arial"/>
        <family val="2"/>
      </rPr>
      <t>-comptabilisées</t>
    </r>
  </si>
  <si>
    <t>elles ont été comptabilisées à la prise d'échelon et elles sont dûes</t>
  </si>
  <si>
    <t>à la prise d'échelon et elles sont dûes</t>
  </si>
  <si>
    <t>pm: pas de bonif à prendre en compte, parce qu'elles sont perdues à la</t>
  </si>
  <si>
    <t>promotion en B (changement de corps, décret 2010-888 du 28/07/2010)</t>
  </si>
  <si>
    <t>Bonifs à prendre en compte (0, perdues à la promotion)</t>
  </si>
  <si>
    <t>Valeur annuelle du point d'idice:</t>
  </si>
  <si>
    <t>Faut-il vérifier impact bonif en 2016</t>
  </si>
  <si>
    <t>ex Nouvelle date prochain échelon</t>
  </si>
  <si>
    <t>ex Nouvelle date d'effet</t>
  </si>
  <si>
    <t>Bonifs prises en compte</t>
  </si>
  <si>
    <t>Faut-il vérifier impact bonif en 2015</t>
  </si>
  <si>
    <t>GAIN REMUNERATION TOTALE (indiciaire + indemnitaire avec correction différence transfert prime/points)</t>
  </si>
  <si>
    <r>
      <t xml:space="preserve">AVERTISSEMENT 2
</t>
    </r>
    <r>
      <rPr>
        <sz val="14"/>
        <rFont val="Arial"/>
        <family val="2"/>
      </rPr>
      <t xml:space="preserve">
Les simulations de la calculette restent des simulations et ne confèrent </t>
    </r>
    <r>
      <rPr>
        <b/>
        <sz val="14"/>
        <rFont val="Arial"/>
        <family val="2"/>
      </rPr>
      <t>aucun droit à déroulement de carrière</t>
    </r>
    <r>
      <rPr>
        <sz val="14"/>
        <rFont val="Arial"/>
        <family val="2"/>
      </rPr>
      <t>.</t>
    </r>
  </si>
  <si>
    <r>
      <t xml:space="preserve">AVERTISSEMENT 3
</t>
    </r>
    <r>
      <rPr>
        <sz val="14"/>
        <rFont val="Arial"/>
        <family val="2"/>
      </rPr>
      <t xml:space="preserve">
</t>
    </r>
    <r>
      <rPr>
        <b/>
        <sz val="14"/>
        <rFont val="Arial"/>
        <family val="2"/>
      </rPr>
      <t xml:space="preserve">Personne ne peut conseiller de renoncer à une promotion.
</t>
    </r>
    <r>
      <rPr>
        <sz val="14"/>
        <rFont val="Arial"/>
        <family val="2"/>
      </rPr>
      <t>Une promotion doit s'analyser dans le temps, et le statutaire peut varier dans le temps.
Par ailleurs, la carrière en B peut se terminer aux grades supérieurs.</t>
    </r>
  </si>
  <si>
    <t>CARRIERE EN C, au grade sommital</t>
  </si>
  <si>
    <t>Carrière en C, au grade sommital</t>
  </si>
  <si>
    <t>Carrière en B, au 1er grade</t>
  </si>
  <si>
    <t>CARRIERE EN B, au 1er grade</t>
  </si>
  <si>
    <r>
      <t xml:space="preserve">AVERTISSEMENT 3
</t>
    </r>
    <r>
      <rPr>
        <sz val="12"/>
        <rFont val="Arial"/>
        <family val="2"/>
      </rPr>
      <t xml:space="preserve">
</t>
    </r>
    <r>
      <rPr>
        <b/>
        <sz val="12"/>
        <rFont val="Arial"/>
        <family val="2"/>
      </rPr>
      <t xml:space="preserve">Personne ne peut conseiller de renoncer à une promotion.
</t>
    </r>
    <r>
      <rPr>
        <sz val="12"/>
        <rFont val="Arial"/>
        <family val="2"/>
      </rPr>
      <t>Une promotion doit s'analyser dans le temps, et le statutaire peut varier dans le temps.
Par ailleurs, la carrière en B peut se poursuivre aux grades supérieurs.</t>
    </r>
  </si>
  <si>
    <t>DIFFERENCE INDICIAIRE CARRIERE EN B</t>
  </si>
  <si>
    <r>
      <t xml:space="preserve">ANALYSE de la situation de l'agent:
</t>
    </r>
    <r>
      <rPr>
        <sz val="10"/>
        <rFont val="Arial"/>
        <family val="2"/>
      </rPr>
      <t xml:space="preserve">
</t>
    </r>
    <r>
      <rPr>
        <b/>
        <sz val="10"/>
        <rFont val="Arial"/>
        <family val="2"/>
      </rPr>
      <t>Sur le calendrier "SOIT DIFFERENCE INDICIAIRE CARRIERE EN B":</t>
    </r>
    <r>
      <rPr>
        <sz val="10"/>
        <rFont val="Arial"/>
        <family val="2"/>
      </rPr>
      <t xml:space="preserve">
       - les mois sur </t>
    </r>
    <r>
      <rPr>
        <b/>
        <sz val="10"/>
        <rFont val="Arial"/>
        <family val="2"/>
      </rPr>
      <t>fond rouge</t>
    </r>
    <r>
      <rPr>
        <sz val="10"/>
        <rFont val="Arial"/>
        <family val="2"/>
      </rPr>
      <t xml:space="preserve"> sont des mois où la </t>
    </r>
    <r>
      <rPr>
        <b/>
        <sz val="10"/>
        <rFont val="Arial"/>
        <family val="2"/>
      </rPr>
      <t>situation indiciaire</t>
    </r>
    <r>
      <rPr>
        <sz val="10"/>
        <rFont val="Arial"/>
        <family val="2"/>
      </rPr>
      <t xml:space="preserve"> est </t>
    </r>
    <r>
      <rPr>
        <b/>
        <sz val="10"/>
        <rFont val="Arial"/>
        <family val="2"/>
      </rPr>
      <t>défavorable à un départ en retraite</t>
    </r>
    <r>
      <rPr>
        <sz val="10"/>
        <rFont val="Arial"/>
        <family val="2"/>
      </rPr>
      <t xml:space="preserve"> parce que </t>
    </r>
    <r>
      <rPr>
        <b/>
        <sz val="10"/>
        <rFont val="Arial"/>
        <family val="2"/>
      </rPr>
      <t>l'indice</t>
    </r>
    <r>
      <rPr>
        <sz val="10"/>
        <rFont val="Arial"/>
        <family val="2"/>
      </rPr>
      <t xml:space="preserve"> pris en compte pour le calcul de la </t>
    </r>
    <r>
      <rPr>
        <b/>
        <sz val="10"/>
        <rFont val="Arial"/>
        <family val="2"/>
      </rPr>
      <t>retraite</t>
    </r>
    <r>
      <rPr>
        <sz val="10"/>
        <rFont val="Arial"/>
        <family val="2"/>
      </rPr>
      <t xml:space="preserve"> (indice détenu 6 mois plus tôt) est </t>
    </r>
    <r>
      <rPr>
        <b/>
        <sz val="10"/>
        <rFont val="Arial"/>
        <family val="2"/>
      </rPr>
      <t>inférieur</t>
    </r>
    <r>
      <rPr>
        <sz val="10"/>
        <rFont val="Arial"/>
        <family val="2"/>
      </rPr>
      <t xml:space="preserve"> à celui que l'agent aurait détenu s'il était resté catégorie C (voir l'indice 6 mois plus tôt).
       - les mois sur </t>
    </r>
    <r>
      <rPr>
        <b/>
        <sz val="10"/>
        <rFont val="Arial"/>
        <family val="2"/>
      </rPr>
      <t>fond orange</t>
    </r>
    <r>
      <rPr>
        <sz val="10"/>
        <rFont val="Arial"/>
        <family val="2"/>
      </rPr>
      <t xml:space="preserve"> sont des mois où la </t>
    </r>
    <r>
      <rPr>
        <b/>
        <sz val="10"/>
        <rFont val="Arial"/>
        <family val="2"/>
      </rPr>
      <t xml:space="preserve">situation indiciaire </t>
    </r>
    <r>
      <rPr>
        <sz val="10"/>
        <rFont val="Arial"/>
        <family val="2"/>
      </rPr>
      <t>est</t>
    </r>
    <r>
      <rPr>
        <b/>
        <sz val="10"/>
        <rFont val="Arial"/>
        <family val="2"/>
      </rPr>
      <t xml:space="preserve"> neutre pour un départ en retraite</t>
    </r>
    <r>
      <rPr>
        <sz val="10"/>
        <rFont val="Arial"/>
        <family val="2"/>
      </rPr>
      <t xml:space="preserve"> parce que </t>
    </r>
    <r>
      <rPr>
        <b/>
        <sz val="10"/>
        <rFont val="Arial"/>
        <family val="2"/>
      </rPr>
      <t>l'indice</t>
    </r>
    <r>
      <rPr>
        <sz val="10"/>
        <rFont val="Arial"/>
        <family val="2"/>
      </rPr>
      <t xml:space="preserve"> pris en compte pour le calcul de la </t>
    </r>
    <r>
      <rPr>
        <b/>
        <sz val="10"/>
        <rFont val="Arial"/>
        <family val="2"/>
      </rPr>
      <t>retraite</t>
    </r>
    <r>
      <rPr>
        <sz val="10"/>
        <rFont val="Arial"/>
        <family val="2"/>
      </rPr>
      <t xml:space="preserve"> (indice détenu 6 mois plus tôt) est </t>
    </r>
    <r>
      <rPr>
        <b/>
        <sz val="10"/>
        <rFont val="Arial"/>
        <family val="2"/>
      </rPr>
      <t>strictement égal</t>
    </r>
    <r>
      <rPr>
        <sz val="10"/>
        <rFont val="Arial"/>
        <family val="2"/>
      </rPr>
      <t xml:space="preserve"> à celui que l'agent aurait détenu s'il était resté catégorie C (voir l'indice 6 mois plus tôt).
       - les mois </t>
    </r>
    <r>
      <rPr>
        <b/>
        <sz val="10"/>
        <rFont val="Arial"/>
        <family val="2"/>
      </rPr>
      <t>sur fond vert</t>
    </r>
    <r>
      <rPr>
        <sz val="10"/>
        <rFont val="Arial"/>
        <family val="2"/>
      </rPr>
      <t xml:space="preserve"> sont des mois où la </t>
    </r>
    <r>
      <rPr>
        <b/>
        <sz val="10"/>
        <rFont val="Arial"/>
        <family val="2"/>
      </rPr>
      <t xml:space="preserve">situation indiciaire </t>
    </r>
    <r>
      <rPr>
        <sz val="10"/>
        <rFont val="Arial"/>
        <family val="2"/>
      </rPr>
      <t>est</t>
    </r>
    <r>
      <rPr>
        <b/>
        <sz val="10"/>
        <rFont val="Arial"/>
        <family val="2"/>
      </rPr>
      <t xml:space="preserve"> favorable à un départ en retraite</t>
    </r>
    <r>
      <rPr>
        <sz val="10"/>
        <rFont val="Arial"/>
        <family val="2"/>
      </rPr>
      <t xml:space="preserve"> parce que </t>
    </r>
    <r>
      <rPr>
        <b/>
        <sz val="10"/>
        <rFont val="Arial"/>
        <family val="2"/>
      </rPr>
      <t>l'indice</t>
    </r>
    <r>
      <rPr>
        <sz val="10"/>
        <rFont val="Arial"/>
        <family val="2"/>
      </rPr>
      <t xml:space="preserve"> pris en compte pour le calcul de la </t>
    </r>
    <r>
      <rPr>
        <b/>
        <sz val="10"/>
        <rFont val="Arial"/>
        <family val="2"/>
      </rPr>
      <t>retraite</t>
    </r>
    <r>
      <rPr>
        <sz val="10"/>
        <rFont val="Arial"/>
        <family val="2"/>
      </rPr>
      <t xml:space="preserve"> (indice détenu 6 mois plus tôt) est </t>
    </r>
    <r>
      <rPr>
        <b/>
        <sz val="10"/>
        <rFont val="Arial"/>
        <family val="2"/>
      </rPr>
      <t>supérieur</t>
    </r>
    <r>
      <rPr>
        <sz val="10"/>
        <rFont val="Arial"/>
        <family val="2"/>
      </rPr>
      <t xml:space="preserve"> à celui que l'agent aurait détenu s'il était resté catégorie C
</t>
    </r>
    <r>
      <rPr>
        <b/>
        <sz val="10"/>
        <color indexed="10"/>
        <rFont val="Arial"/>
        <family val="2"/>
      </rPr>
      <t>MAIS ATTENTION</t>
    </r>
    <r>
      <rPr>
        <sz val="10"/>
        <rFont val="Arial"/>
        <family val="2"/>
      </rPr>
      <t xml:space="preserve">, l'agent peut avoir sur la période un </t>
    </r>
    <r>
      <rPr>
        <b/>
        <sz val="10"/>
        <color indexed="10"/>
        <rFont val="Arial"/>
        <family val="2"/>
      </rPr>
      <t>GAIN INDICIAIRE DE PROMOTION NEGATIF</t>
    </r>
    <r>
      <rPr>
        <b/>
        <sz val="10"/>
        <rFont val="Arial"/>
        <family val="2"/>
      </rPr>
      <t xml:space="preserve">
</t>
    </r>
    <r>
      <rPr>
        <sz val="10"/>
        <rFont val="Arial"/>
        <family val="2"/>
      </rPr>
      <t xml:space="preserve">Il est donc utile de vérifier la situation de l'agent de ce point de vue là dans la colonne </t>
    </r>
    <r>
      <rPr>
        <b/>
        <sz val="10"/>
        <rFont val="Arial"/>
        <family val="2"/>
      </rPr>
      <t xml:space="preserve">"Gain de promo en B en cumulé" </t>
    </r>
    <r>
      <rPr>
        <sz val="10"/>
        <rFont val="Arial"/>
        <family val="2"/>
      </rPr>
      <t xml:space="preserve">(qui n'analyse que la situation indiciaire).
Lors de l'entrevue avec l'agent, il sera </t>
    </r>
    <r>
      <rPr>
        <b/>
        <sz val="10"/>
        <color indexed="10"/>
        <rFont val="Arial"/>
        <family val="2"/>
      </rPr>
      <t xml:space="preserve">utile de compléter cette analyse indiciaire avec les données indemnitaires qui peuvent venir compenser la perte indiciaire.
</t>
    </r>
    <r>
      <rPr>
        <b/>
        <sz val="10"/>
        <rFont val="Arial"/>
        <family val="2"/>
      </rPr>
      <t xml:space="preserve">Les </t>
    </r>
    <r>
      <rPr>
        <sz val="10"/>
        <rFont val="Arial"/>
        <family val="2"/>
      </rPr>
      <t>années</t>
    </r>
    <r>
      <rPr>
        <b/>
        <sz val="10"/>
        <rFont val="Arial"/>
        <family val="2"/>
      </rPr>
      <t xml:space="preserve"> de départ à la retraite ou le gain de promotion est négatif</t>
    </r>
    <r>
      <rPr>
        <sz val="10"/>
        <rFont val="Arial"/>
        <family val="2"/>
      </rPr>
      <t xml:space="preserve"> en cumulé (indiciaire + indemnitaire) sont identifiées, le cas échéant, sur</t>
    </r>
    <r>
      <rPr>
        <b/>
        <sz val="10"/>
        <rFont val="Arial"/>
        <family val="2"/>
      </rPr>
      <t xml:space="preserve"> fond rouge.  </t>
    </r>
  </si>
  <si>
    <r>
      <t xml:space="preserve">AVERTISSEMENT 1
</t>
    </r>
    <r>
      <rPr>
        <sz val="12"/>
        <rFont val="Arial"/>
        <family val="2"/>
      </rPr>
      <t xml:space="preserve">
Cette calculette, élaborée par la DRH/</t>
    </r>
    <r>
      <rPr>
        <b/>
        <sz val="12"/>
        <rFont val="Arial"/>
        <family val="2"/>
      </rPr>
      <t>GAP&amp;MGS</t>
    </r>
    <r>
      <rPr>
        <sz val="12"/>
        <rFont val="Arial"/>
        <family val="2"/>
      </rPr>
      <t>, est un outil permettant d'évaluer les différences indiciaires entre une carrière en C et une carrière en B après promotion.
Elle prend en compte les évolutions introduites par le protocole PPCR de 2016 à 2020.
Elle ne peut être utilisé que pour l'exercice de promotion au titre de 2016 et pour des agents susceptibles d'être promus en catégorie B qui sont en échelle 6.
Il est demandé d'effectuer les simulations pour tous les agents de l'échelle 6 (les agents détenteurs du 5e, 6e ou 7e échelon étant les plus concernés).
La calculette comporte des simplifications de calcul: en particulier, le nouvel indice n'est comptabilisé qu'au 1er du mois qui suit la date d'effet.</t>
    </r>
  </si>
  <si>
    <r>
      <t>AVERTISSEMENT 1</t>
    </r>
    <r>
      <rPr>
        <sz val="14"/>
        <rFont val="Arial"/>
        <family val="2"/>
      </rPr>
      <t xml:space="preserve">
Cette calculette, élaborée par la DRH/GAP&amp;MGS, est un outil permettant d'évaluer les différences indiciaires entre une carrière en C et une carrière en B après promotion.
Elle prend en compte les évolutions introduites par le protocole PPCR de 2016 à 2020.
Elle ne peut être utilisé que pour l'exercice de promotion au titre de 2016 et pour des agents susceptibles d'être promus en catégorie B qui sont en échelle 6.
Il est demandé d'effectuer les simulations pour tous les agents de l'échelle 6 (les agents détenteurs du 5e, 6e ou 7e échelon étant les plus concernés).
La calculette comporte des simplifications de calcul: en particulier, le nouvel indice n'est comptabilisé qu'au 1er du mois qui suit la date d'effet.</t>
    </r>
  </si>
  <si>
    <t>bonif en C pour 2016</t>
  </si>
  <si>
    <t>indemnité de sujétion au double taux de base (2*7%=14%)</t>
  </si>
  <si>
    <t>prime de technicité (25%)</t>
  </si>
  <si>
    <t>indemnité de logement (12%)</t>
  </si>
  <si>
    <t>TE</t>
  </si>
  <si>
    <t>ATE</t>
  </si>
  <si>
    <t>SOIT</t>
  </si>
  <si>
    <t>Saisie Régime indemnitaire</t>
  </si>
  <si>
    <t>indemnité de mobilité (10%)</t>
  </si>
  <si>
    <t>prime de risque - ONCFS(10,5%) - ONEMA et parcs(8%)</t>
  </si>
  <si>
    <t>indemnité</t>
  </si>
  <si>
    <t>autre, le cas échéant</t>
  </si>
  <si>
    <t>Il n'est pas nécessaire de saisir les indemnités outremer  (majorations de traitement) ni les indemnités compensatrices en Corse, l'outil calculant des écarts.</t>
  </si>
  <si>
    <r>
      <t xml:space="preserve">Afin de procéder aux simulations de reclassement et aux comparaisons des déroulements de carrière en catégorie C et en catégorie B des agents proposés à la promotion, la DRH a élaboré un </t>
    </r>
    <r>
      <rPr>
        <b/>
        <sz val="12"/>
        <rFont val="Helv"/>
        <family val="0"/>
      </rPr>
      <t xml:space="preserve">outil automatisé. </t>
    </r>
  </si>
  <si>
    <r>
      <t xml:space="preserve">Cet outil automatisé permet d'évaluer les différences entre une carrière en catégorie C et une carrière en catégorie B après promotion. Il prend en compte les évolutions introduites par le protocole PPCR de 2016 à 2020. </t>
    </r>
    <r>
      <rPr>
        <b/>
        <sz val="12"/>
        <rFont val="Helv"/>
        <family val="0"/>
      </rPr>
      <t xml:space="preserve">Il ne peut être utilisé que pour l'exercice de promotion au titre de 2016 et pour des agents susceptibles d'être promus en catégorie B qui sont en échelle 6. </t>
    </r>
    <r>
      <rPr>
        <sz val="12"/>
        <rFont val="Helv"/>
        <family val="0"/>
      </rPr>
      <t xml:space="preserve">Il tient compte des éventuelles bonifications d'ancienneté. </t>
    </r>
  </si>
  <si>
    <t xml:space="preserve">Il est demandé d'effectuer les simulations pour tous les agents de l'échelle 6 (les agents détenteurs du 5e, 6e ou 7e échelon étant les plus concernés). </t>
  </si>
  <si>
    <t xml:space="preserve">L’outil tient compte des bonifications d'ancienneté en octroyant 1 mois de bonification d’ancienneté chaque année depuis la dernière date de prise d’échelon ou de grade. </t>
  </si>
  <si>
    <t xml:space="preserve">L’outil nécessite tout d’abord la saisie des données indiciaires de l’agent. </t>
  </si>
  <si>
    <t xml:space="preserve">Les dates de changement de situation sont estimées à une dizaine de jours près. L’outil n’attribue le nouvel indice majoré lié au changement de situation qu’au 1er du mois qui suit la date d'effet de ce changement, pour éviter de calculer une rémunération mensuelle sur 2 indices différents, ce qui permet, au surplus, de garantir que le mois donné sera rémunéré à l’indice donné malgré l’approximation sur la date d’effet. </t>
  </si>
  <si>
    <t xml:space="preserve">Les déroulements de carrière indiciaires permettent ainsi d’identifier l’indice qui sera pris en compte pour le calcul de la retraite de l’agent. </t>
  </si>
  <si>
    <t>Outre la saisie des données indiciaires, l’outil nécessite également la saisie des données indemnitaires, par les services, en catégorie C et en catégorie B.</t>
  </si>
  <si>
    <t xml:space="preserve">Par simplification, l’outil ne prévoit aucune évolution des régimes indemnitaires, ni en catégorie C, ni en catégorie B, ce qui permet de comparer les rémunérations (indiciaire + indemnitaire). Pour les régimes indemnitaires adossés à l’ISS, il convient de ne pas prendre en compte l’année de décalage pour permettre les comparaisons (de toutes les façons, l’année de retard n’est pas perdue puisque elle sera servie la première année de la retraite). Enfin, l’outil intègre le transfert primes- point prévu par le protocole PPCR et comptabilise donc l’écart transfert primes-point entre les carrières en catégorie C et en catégorie B. </t>
  </si>
  <si>
    <t xml:space="preserve">Les déroulements de carrière indiciaires complétés par les données indemnitaires permettent d’identifier la totalité des gains de promotion (en rémunération totale). </t>
  </si>
  <si>
    <t xml:space="preserve">Une fois saisies les données indiciaires et indemnitaires, l’outil propose 2 états : </t>
  </si>
  <si>
    <r>
      <t>-  </t>
    </r>
    <r>
      <rPr>
        <sz val="12"/>
        <rFont val="Helv"/>
        <family val="0"/>
      </rPr>
      <t xml:space="preserve">L’état des dates d’avancement en catégorie C et en catégorie B </t>
    </r>
  </si>
  <si>
    <r>
      <t>-  </t>
    </r>
    <r>
      <rPr>
        <sz val="12"/>
        <rFont val="Helv"/>
        <family val="0"/>
      </rPr>
      <t xml:space="preserve">L’état de la simulation des 2 carrières qui est un outil d’information de l’agent </t>
    </r>
  </si>
  <si>
    <r>
      <t xml:space="preserve">Il est précisé que les </t>
    </r>
    <r>
      <rPr>
        <b/>
        <sz val="12"/>
        <rFont val="Helv"/>
        <family val="0"/>
      </rPr>
      <t xml:space="preserve">simulations </t>
    </r>
    <r>
      <rPr>
        <sz val="12"/>
        <rFont val="Helv"/>
        <family val="0"/>
      </rPr>
      <t xml:space="preserve">de l'outil restent des projections et ne confèrent </t>
    </r>
    <r>
      <rPr>
        <b/>
        <sz val="12"/>
        <rFont val="Helv"/>
        <family val="0"/>
      </rPr>
      <t>aucun droit à déroulement de carrière</t>
    </r>
    <r>
      <rPr>
        <sz val="12"/>
        <rFont val="Helv"/>
        <family val="0"/>
      </rPr>
      <t xml:space="preserve">. Par ailleurs, </t>
    </r>
    <r>
      <rPr>
        <b/>
        <sz val="12"/>
        <rFont val="Helv"/>
        <family val="0"/>
      </rPr>
      <t>personne ne peut conseiller de renoncer à une éventuelle promotion</t>
    </r>
    <r>
      <rPr>
        <sz val="12"/>
        <rFont val="Helv"/>
        <family val="0"/>
      </rPr>
      <t xml:space="preserve">. Une promotion doit s'analyser dans le temps, et le statutaire peut varier dans le temps. </t>
    </r>
  </si>
  <si>
    <r>
      <t xml:space="preserve">Par ailleurs, la </t>
    </r>
    <r>
      <rPr>
        <b/>
        <sz val="12"/>
        <rFont val="Helv"/>
        <family val="0"/>
      </rPr>
      <t>carrière en B peut se poursuivre aux grades supérieurs</t>
    </r>
    <r>
      <rPr>
        <sz val="12"/>
        <rFont val="Helv"/>
        <family val="0"/>
      </rPr>
      <t xml:space="preserve">. </t>
    </r>
  </si>
  <si>
    <t xml:space="preserve">Prise en main de l’outil : </t>
  </si>
  <si>
    <t xml:space="preserve">SAISIE DES DONNEES </t>
  </si>
  <si>
    <t xml:space="preserve">La saisie des données nécessaires au fonctionnement de l’outil ne peut se faire que </t>
  </si>
  <si>
    <t xml:space="preserve">dans les cellules sur fond bleu dans l’onglet « simulation carrières ». </t>
  </si>
  <si>
    <r>
      <t xml:space="preserve">Étape 1: </t>
    </r>
    <r>
      <rPr>
        <sz val="12"/>
        <rFont val="Helv"/>
        <family val="0"/>
      </rPr>
      <t>Saisie de la situation indiciaire de l’agent dans la catégorie C au 01/01/2016 :</t>
    </r>
  </si>
  <si>
    <t xml:space="preserve">Il s’agit de porter, outre les NOM et PRENOM de l’agent, les éléments suivants indiqués sur le dernier arrêté ayant pris en compte un reclassement, un changement de grade ou d’échelon : </t>
  </si>
  <si>
    <r>
      <t>-  </t>
    </r>
    <r>
      <rPr>
        <sz val="12"/>
        <rFont val="Helv"/>
        <family val="0"/>
      </rPr>
      <t xml:space="preserve">Échelon </t>
    </r>
  </si>
  <si>
    <r>
      <t>-  </t>
    </r>
    <r>
      <rPr>
        <sz val="12"/>
        <rFont val="Helv"/>
        <family val="0"/>
      </rPr>
      <t xml:space="preserve">Date d’effet </t>
    </r>
  </si>
  <si>
    <r>
      <t>-  </t>
    </r>
    <r>
      <rPr>
        <sz val="12"/>
        <rFont val="Helv"/>
        <family val="0"/>
      </rPr>
      <t xml:space="preserve">Reliquat d’ancienneté à la date de l’arrêté </t>
    </r>
    <r>
      <rPr>
        <b/>
        <sz val="12"/>
        <rFont val="Helv"/>
        <family val="0"/>
      </rPr>
      <t xml:space="preserve">SANS </t>
    </r>
    <r>
      <rPr>
        <sz val="12"/>
        <rFont val="Helv"/>
        <family val="0"/>
      </rPr>
      <t xml:space="preserve">prendre en compte les </t>
    </r>
  </si>
  <si>
    <r>
      <t xml:space="preserve">éventuelles </t>
    </r>
    <r>
      <rPr>
        <b/>
        <sz val="12"/>
        <rFont val="Helv"/>
        <family val="0"/>
      </rPr>
      <t xml:space="preserve">bonifications d’ancienneté </t>
    </r>
    <r>
      <rPr>
        <sz val="12"/>
        <rFont val="Helv"/>
        <family val="0"/>
      </rPr>
      <t xml:space="preserve">acquises depuis la date d’effet de l’arrêté parce que la calculette les intègre par défaut. </t>
    </r>
  </si>
  <si>
    <r>
      <t xml:space="preserve">Étape 2 : </t>
    </r>
    <r>
      <rPr>
        <sz val="12"/>
        <rFont val="Helv"/>
        <family val="0"/>
      </rPr>
      <t>Saisie de la situation indemnitaire de l’agent dans la catégorie C au 01/01/2016 :</t>
    </r>
  </si>
  <si>
    <r>
      <t xml:space="preserve">Il s’agit de porter le montant servi en 2016 et incluant l’ensemble des </t>
    </r>
    <r>
      <rPr>
        <b/>
        <sz val="12"/>
        <rFont val="Helv"/>
        <family val="0"/>
      </rPr>
      <t xml:space="preserve">primes hors IHTS. </t>
    </r>
  </si>
  <si>
    <t xml:space="preserve">En particulier, en cas d'ISS, il ne faut pas tenir compte de l'année de décalage. Ainsi, pour les dessinateurs, il convient d’indiquer dans la colonne "cat C" le montant servi en 2016 au titre de 2015. </t>
  </si>
  <si>
    <r>
      <t xml:space="preserve">Étape 3 : </t>
    </r>
    <r>
      <rPr>
        <sz val="12"/>
        <rFont val="Helv"/>
        <family val="0"/>
      </rPr>
      <t>Saisie de la situation indemnitaire estimée de l’agent dans la catégorie B au 01/01/2016 :</t>
    </r>
  </si>
  <si>
    <r>
      <t xml:space="preserve">Il s’agit de porter le montant qui sera </t>
    </r>
    <r>
      <rPr>
        <b/>
        <sz val="12"/>
        <rFont val="Helv"/>
        <family val="0"/>
      </rPr>
      <t xml:space="preserve">servi en 2016 </t>
    </r>
    <r>
      <rPr>
        <sz val="12"/>
        <rFont val="Helv"/>
        <family val="0"/>
      </rPr>
      <t xml:space="preserve">ou </t>
    </r>
    <r>
      <rPr>
        <b/>
        <sz val="12"/>
        <rFont val="Helv"/>
        <family val="0"/>
      </rPr>
      <t>qui sera servi en 2017 au titre de l’année 2016 pour l’ISS</t>
    </r>
    <r>
      <rPr>
        <sz val="12"/>
        <rFont val="Helv"/>
        <family val="0"/>
      </rPr>
      <t xml:space="preserve">, et incluant l’ensemble des </t>
    </r>
    <r>
      <rPr>
        <b/>
        <sz val="12"/>
        <rFont val="Helv"/>
        <family val="0"/>
      </rPr>
      <t xml:space="preserve">primes hors IHTS </t>
    </r>
    <r>
      <rPr>
        <sz val="12"/>
        <rFont val="Helv"/>
        <family val="0"/>
      </rPr>
      <t xml:space="preserve">qu’il convient donc de déterminer. </t>
    </r>
  </si>
  <si>
    <t xml:space="preserve">Dans le cas particulier de l’ISS, il ne faut pas tenir compte de l'année de décalage. Pour les futurs promus TSDD, il convient d’indiquer dans la colonne "cat B" le montant qui sera versé en 2017 au titre de l'année 2016 sans tenir compte de l'éventuelle application d'un dispositif transitoire (régime d'avance ou autre) en 2016. </t>
  </si>
  <si>
    <t xml:space="preserve">RESULTATS </t>
  </si>
  <si>
    <r>
      <t xml:space="preserve">Étape 4 : </t>
    </r>
    <r>
      <rPr>
        <sz val="12"/>
        <rFont val="Helv"/>
        <family val="0"/>
      </rPr>
      <t xml:space="preserve">Prise de connaissance des dates d’avancement en catégorie C et en catégorie B : </t>
    </r>
    <r>
      <rPr>
        <b/>
        <sz val="12"/>
        <rFont val="Helv"/>
        <family val="0"/>
      </rPr>
      <t>onglet « dates avancement en C et B »</t>
    </r>
  </si>
  <si>
    <t xml:space="preserve">Il s’agit de porter à la connaissance de l’agent l’état «dates avancements en C et B » </t>
  </si>
  <si>
    <r>
      <t xml:space="preserve">Étape 5 : </t>
    </r>
    <r>
      <rPr>
        <sz val="12"/>
        <rFont val="Helv"/>
        <family val="0"/>
      </rPr>
      <t xml:space="preserve">Prise de connaissance de </t>
    </r>
    <r>
      <rPr>
        <b/>
        <sz val="12"/>
        <rFont val="Helv"/>
        <family val="0"/>
      </rPr>
      <t>l’</t>
    </r>
    <r>
      <rPr>
        <sz val="12"/>
        <rFont val="Helv"/>
        <family val="0"/>
      </rPr>
      <t xml:space="preserve">outil d’information de l’agent : </t>
    </r>
    <r>
      <rPr>
        <b/>
        <sz val="12"/>
        <rFont val="Helv"/>
        <family val="0"/>
      </rPr>
      <t>onglet « simulation carrières »</t>
    </r>
  </si>
  <si>
    <r>
      <t xml:space="preserve">Il s’agit de porter à la connaissance de l’agent l’état «simulation carrières» et de procéder à </t>
    </r>
    <r>
      <rPr>
        <b/>
        <sz val="12"/>
        <rFont val="Helv"/>
        <family val="0"/>
      </rPr>
      <t xml:space="preserve">l’analyse de la situation </t>
    </r>
    <r>
      <rPr>
        <sz val="12"/>
        <rFont val="Helv"/>
        <family val="0"/>
      </rPr>
      <t xml:space="preserve">de l'agent: </t>
    </r>
  </si>
  <si>
    <t xml:space="preserve">L’état présente 3 calendriers </t>
  </si>
  <si>
    <r>
      <t>-  </t>
    </r>
    <r>
      <rPr>
        <sz val="12"/>
        <rFont val="Helv"/>
        <family val="0"/>
      </rPr>
      <t xml:space="preserve">le calendrier « Carrière en C, au grade sommital » qui détermine l’indice en </t>
    </r>
  </si>
  <si>
    <t xml:space="preserve">catégorie C pour chaque mois des années 2016 à 2038. </t>
  </si>
  <si>
    <r>
      <t>-  </t>
    </r>
    <r>
      <rPr>
        <sz val="12"/>
        <rFont val="Helv"/>
        <family val="0"/>
      </rPr>
      <t xml:space="preserve">le calendrier « Carrière en B, au 1er grade » qui détermine l’indice en </t>
    </r>
  </si>
  <si>
    <t xml:space="preserve">catégorie B pour chaque mois des années 2016 à 2038. </t>
  </si>
  <si>
    <r>
      <t>-  </t>
    </r>
    <r>
      <rPr>
        <sz val="12"/>
        <rFont val="Helv"/>
        <family val="0"/>
      </rPr>
      <t xml:space="preserve">le calendrier </t>
    </r>
    <r>
      <rPr>
        <b/>
        <sz val="12"/>
        <rFont val="Helv"/>
        <family val="0"/>
      </rPr>
      <t>"</t>
    </r>
    <r>
      <rPr>
        <sz val="12"/>
        <rFont val="Helv"/>
        <family val="0"/>
      </rPr>
      <t xml:space="preserve">DIFFERENCE INDICIAIRE CARRIERE EN B": </t>
    </r>
  </si>
  <si>
    <r>
      <t xml:space="preserve">Sur le </t>
    </r>
    <r>
      <rPr>
        <b/>
        <sz val="12"/>
        <rFont val="Helv"/>
        <family val="0"/>
      </rPr>
      <t>calendrier "DIFFERENCE INDICIAIRE CARRIERE EN B"</t>
    </r>
    <r>
      <rPr>
        <sz val="12"/>
        <rFont val="Helv"/>
        <family val="0"/>
      </rPr>
      <t>:</t>
    </r>
  </si>
  <si>
    <t xml:space="preserve">Chaque cellule du calendrier indique l’écart indiciaire entre les deux carrièrres. </t>
  </si>
  <si>
    <t xml:space="preserve">Chaque cellule est par ailleurs associée à un code couleur : </t>
  </si>
  <si>
    <r>
      <t>-  </t>
    </r>
    <r>
      <rPr>
        <sz val="12"/>
        <rFont val="Helv"/>
        <family val="0"/>
      </rPr>
      <t xml:space="preserve">les mois sur </t>
    </r>
    <r>
      <rPr>
        <b/>
        <sz val="12"/>
        <rFont val="Helv"/>
        <family val="0"/>
      </rPr>
      <t xml:space="preserve">fond rouge </t>
    </r>
    <r>
      <rPr>
        <sz val="12"/>
        <rFont val="Helv"/>
        <family val="0"/>
      </rPr>
      <t xml:space="preserve">sont des mois où la </t>
    </r>
    <r>
      <rPr>
        <b/>
        <sz val="12"/>
        <rFont val="Helv"/>
        <family val="0"/>
      </rPr>
      <t xml:space="preserve">situation indiciaire </t>
    </r>
    <r>
      <rPr>
        <sz val="12"/>
        <rFont val="Helv"/>
        <family val="0"/>
      </rPr>
      <t xml:space="preserve">est </t>
    </r>
  </si>
  <si>
    <r>
      <t xml:space="preserve">défavorable à un départ en retraite </t>
    </r>
    <r>
      <rPr>
        <sz val="12"/>
        <rFont val="Helv"/>
        <family val="0"/>
      </rPr>
      <t xml:space="preserve">parce que </t>
    </r>
    <r>
      <rPr>
        <b/>
        <sz val="12"/>
        <rFont val="Helv"/>
        <family val="0"/>
      </rPr>
      <t xml:space="preserve">l'indice </t>
    </r>
    <r>
      <rPr>
        <sz val="12"/>
        <rFont val="Helv"/>
        <family val="0"/>
      </rPr>
      <t>pris en compte pour le calcul de la retraite (</t>
    </r>
    <r>
      <rPr>
        <b/>
        <sz val="12"/>
        <rFont val="Helv"/>
        <family val="0"/>
      </rPr>
      <t>indice détenu 6 mois plus tôt</t>
    </r>
    <r>
      <rPr>
        <sz val="12"/>
        <rFont val="Helv"/>
        <family val="0"/>
      </rPr>
      <t xml:space="preserve">) est </t>
    </r>
    <r>
      <rPr>
        <b/>
        <sz val="12"/>
        <rFont val="Helv"/>
        <family val="0"/>
      </rPr>
      <t xml:space="preserve">inférieur </t>
    </r>
    <r>
      <rPr>
        <sz val="12"/>
        <rFont val="Helv"/>
        <family val="0"/>
      </rPr>
      <t xml:space="preserve">à celui que l'agent aurait détenu s'il était resté catégorie C (voir l'indice 6 mois plus tôt). </t>
    </r>
  </si>
  <si>
    <r>
      <t>-  </t>
    </r>
    <r>
      <rPr>
        <sz val="12"/>
        <rFont val="Helv"/>
        <family val="0"/>
      </rPr>
      <t xml:space="preserve">les mois sur </t>
    </r>
    <r>
      <rPr>
        <b/>
        <sz val="12"/>
        <rFont val="Helv"/>
        <family val="0"/>
      </rPr>
      <t xml:space="preserve">fond orange </t>
    </r>
    <r>
      <rPr>
        <sz val="12"/>
        <rFont val="Helv"/>
        <family val="0"/>
      </rPr>
      <t xml:space="preserve">sont des mois où la </t>
    </r>
    <r>
      <rPr>
        <b/>
        <sz val="12"/>
        <rFont val="Helv"/>
        <family val="0"/>
      </rPr>
      <t xml:space="preserve">situation indiciaire </t>
    </r>
    <r>
      <rPr>
        <sz val="12"/>
        <rFont val="Helv"/>
        <family val="0"/>
      </rPr>
      <t xml:space="preserve">est </t>
    </r>
    <r>
      <rPr>
        <b/>
        <sz val="12"/>
        <rFont val="Helv"/>
        <family val="0"/>
      </rPr>
      <t xml:space="preserve">neutre pour un départ en retraite </t>
    </r>
    <r>
      <rPr>
        <sz val="12"/>
        <rFont val="Helv"/>
        <family val="0"/>
      </rPr>
      <t xml:space="preserve">parce que </t>
    </r>
    <r>
      <rPr>
        <b/>
        <sz val="12"/>
        <rFont val="Helv"/>
        <family val="0"/>
      </rPr>
      <t xml:space="preserve">l'indice </t>
    </r>
    <r>
      <rPr>
        <sz val="12"/>
        <rFont val="Helv"/>
        <family val="0"/>
      </rPr>
      <t>pris en compte pour le calcul de la retraite (</t>
    </r>
    <r>
      <rPr>
        <b/>
        <sz val="12"/>
        <rFont val="Helv"/>
        <family val="0"/>
      </rPr>
      <t>indice détenu 6 mois plus tôt</t>
    </r>
    <r>
      <rPr>
        <sz val="12"/>
        <rFont val="Helv"/>
        <family val="0"/>
      </rPr>
      <t xml:space="preserve">) est </t>
    </r>
    <r>
      <rPr>
        <b/>
        <sz val="12"/>
        <rFont val="Helv"/>
        <family val="0"/>
      </rPr>
      <t xml:space="preserve">strictement égal </t>
    </r>
    <r>
      <rPr>
        <sz val="12"/>
        <rFont val="Helv"/>
        <family val="0"/>
      </rPr>
      <t xml:space="preserve">à celui que l'agent aurait détenu s'il était resté catégorie C (voir l'indice 6 mois plus tôt). </t>
    </r>
  </si>
  <si>
    <r>
      <t>-  </t>
    </r>
    <r>
      <rPr>
        <sz val="12"/>
        <rFont val="Helv"/>
        <family val="0"/>
      </rPr>
      <t xml:space="preserve">les mois sur </t>
    </r>
    <r>
      <rPr>
        <b/>
        <sz val="12"/>
        <rFont val="Helv"/>
        <family val="0"/>
      </rPr>
      <t xml:space="preserve">fond vert </t>
    </r>
    <r>
      <rPr>
        <sz val="12"/>
        <rFont val="Helv"/>
        <family val="0"/>
      </rPr>
      <t xml:space="preserve">sont des mois où la </t>
    </r>
    <r>
      <rPr>
        <b/>
        <sz val="12"/>
        <rFont val="Helv"/>
        <family val="0"/>
      </rPr>
      <t xml:space="preserve">situation indiciaire </t>
    </r>
    <r>
      <rPr>
        <sz val="12"/>
        <rFont val="Helv"/>
        <family val="0"/>
      </rPr>
      <t xml:space="preserve">est </t>
    </r>
    <r>
      <rPr>
        <b/>
        <sz val="12"/>
        <rFont val="Helv"/>
        <family val="0"/>
      </rPr>
      <t xml:space="preserve">favorable à un départ en retraite </t>
    </r>
    <r>
      <rPr>
        <sz val="12"/>
        <rFont val="Helv"/>
        <family val="0"/>
      </rPr>
      <t xml:space="preserve">parce que </t>
    </r>
    <r>
      <rPr>
        <b/>
        <sz val="12"/>
        <rFont val="Helv"/>
        <family val="0"/>
      </rPr>
      <t xml:space="preserve">l'indice </t>
    </r>
    <r>
      <rPr>
        <sz val="12"/>
        <rFont val="Helv"/>
        <family val="0"/>
      </rPr>
      <t>pris en compte pour le calcul de la retraite (</t>
    </r>
    <r>
      <rPr>
        <b/>
        <sz val="12"/>
        <rFont val="Helv"/>
        <family val="0"/>
      </rPr>
      <t>indice détenu 6 mois plus tôt</t>
    </r>
    <r>
      <rPr>
        <sz val="12"/>
        <rFont val="Helv"/>
        <family val="0"/>
      </rPr>
      <t xml:space="preserve">) est </t>
    </r>
    <r>
      <rPr>
        <b/>
        <sz val="12"/>
        <rFont val="Helv"/>
        <family val="0"/>
      </rPr>
      <t xml:space="preserve">supérieur </t>
    </r>
    <r>
      <rPr>
        <sz val="12"/>
        <rFont val="Helv"/>
        <family val="0"/>
      </rPr>
      <t xml:space="preserve">à celui que l'agent aurait détenu s'il était resté catégorie C </t>
    </r>
  </si>
  <si>
    <t xml:space="preserve">Ainsi, une cellule peut avoir un fond rouge alors que l’écart indiciaire est positif. Cela tient au fait qu’un agent partant à la retraite un mois donné voit son calcul de retraite effectué non pas sur l’indice du mois de départ mais sur l’indice qu’il détient depuis au moins 6 mois. Si la cellule a un fond rouge, cela veut dire que l’indice 6 mois plus tôt présente un écart négatif par rapport à celui que l’agent aurait eu à cette même époque en catégorie C. </t>
  </si>
  <si>
    <t xml:space="preserve">Une fois les périodes favorables à un départ à la retraite identifiées, il reste encore à analyser les gains de promotion (en indiciaire, puis en rémunération totale c'est-à- dire indiciaire + indemnitaire) sur la période. </t>
  </si>
  <si>
    <r>
      <t xml:space="preserve">En effet, un mois de départ à la retraite peut être favorable, </t>
    </r>
    <r>
      <rPr>
        <b/>
        <sz val="12"/>
        <rFont val="Helv"/>
        <family val="0"/>
      </rPr>
      <t>MAIS ATTENTION</t>
    </r>
    <r>
      <rPr>
        <sz val="12"/>
        <rFont val="Helv"/>
        <family val="0"/>
      </rPr>
      <t xml:space="preserve">, l'agent peut avoir sur la période un </t>
    </r>
    <r>
      <rPr>
        <b/>
        <sz val="12"/>
        <rFont val="Helv"/>
        <family val="0"/>
      </rPr>
      <t xml:space="preserve">GAIN INDICIAIRE DE PROMOTION NEGATIF </t>
    </r>
    <r>
      <rPr>
        <sz val="12"/>
        <rFont val="Helv"/>
        <family val="0"/>
      </rPr>
      <t>(perte indiciaire).</t>
    </r>
  </si>
  <si>
    <t xml:space="preserve">Il est donc utile de vérifier la situation de l'agent dans la colonne "Gain de promo en B en cumulé" (qui n'analyse que la situation indiciaire). </t>
  </si>
  <si>
    <r>
      <t xml:space="preserve">De la même manière, un mois de départ à la retraite peut être favorable, </t>
    </r>
    <r>
      <rPr>
        <b/>
        <sz val="12"/>
        <rFont val="Helv"/>
        <family val="0"/>
      </rPr>
      <t>MAIS ATTENTION</t>
    </r>
    <r>
      <rPr>
        <sz val="12"/>
        <rFont val="Helv"/>
        <family val="0"/>
      </rPr>
      <t xml:space="preserve">, l'agent peut avoir sur la période un </t>
    </r>
    <r>
      <rPr>
        <b/>
        <sz val="12"/>
        <rFont val="Helv"/>
        <family val="0"/>
      </rPr>
      <t>GAIN DE PROMOTION (INDICIAIRE + INDEMNITAIRE) NEGATIF.</t>
    </r>
  </si>
  <si>
    <t xml:space="preserve">Lors de l'entrevue avec l'agent, il est utile de compléter l’analyse indiciaire avec les données indemnitaires qui peuvent venir compenser la perte indiciaire. </t>
  </si>
  <si>
    <r>
      <t xml:space="preserve">Les années de départ à la retraite où le </t>
    </r>
    <r>
      <rPr>
        <b/>
        <sz val="12"/>
        <rFont val="Helv"/>
        <family val="0"/>
      </rPr>
      <t xml:space="preserve">GAIN DE PROMOTION EST NEGATIF EN CUMULE EN REMUNERATION TOTALE </t>
    </r>
    <r>
      <rPr>
        <sz val="12"/>
        <rFont val="Helv"/>
        <family val="0"/>
      </rPr>
      <t xml:space="preserve">(indiciaire + indemnitaire) sont identifiées, le cas échéant, sur </t>
    </r>
    <r>
      <rPr>
        <b/>
        <sz val="12"/>
        <rFont val="Helv"/>
        <family val="0"/>
      </rPr>
      <t>fond rouge</t>
    </r>
    <r>
      <rPr>
        <sz val="12"/>
        <rFont val="Helv"/>
        <family val="0"/>
      </rPr>
      <t xml:space="preserve">. </t>
    </r>
  </si>
  <si>
    <t>DERNIERES INFORMATIONS :</t>
  </si>
  <si>
    <t>Pour répondre à certaines interrogations, il est nécessaire d'apporter une petite précision :</t>
  </si>
  <si>
    <t>Pour la calculette, il est impératif de saisir la date d'effet de l'échelon en cours et le reliquat d'ancienneté, information présentessur le dernier arrêté.</t>
  </si>
  <si>
    <t>De son coté, la fiche technique de procédure vous invite à prendre en compte la situation au 01/01/2016 en saisissant l'ancienneté échelon.</t>
  </si>
  <si>
    <t>Le reliquat d'ancienneté et l'ancienneté échelon sont 2 notions distinctes.</t>
  </si>
  <si>
    <t>En l'occurrence, l'ancienneté échelon de la fiche technique de procédure est la somme du temps passé dans l'échelon depuis la date d'effet jusqu'au 01/01/2016 + le reliquat d'ancienneté + les éventuelles bonifications d'ancienneté.</t>
  </si>
  <si>
    <t>Enfin, la calculette ne prend pas en compte les bonifs ZUS qu'il est impossible de modéliser et qui d'ailleurs vont voir leur format changer.</t>
  </si>
</sst>
</file>

<file path=xl/styles.xml><?xml version="1.0" encoding="utf-8"?>
<styleSheet xmlns="http://schemas.openxmlformats.org/spreadsheetml/2006/main">
  <numFmts count="2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0_ ;\-0\ "/>
    <numFmt numFmtId="174" formatCode="0_ ;[Red]\-0\ "/>
    <numFmt numFmtId="175" formatCode="#,##0_ ;\-#,##0\ "/>
    <numFmt numFmtId="176" formatCode="#,##0.00\ &quot;€&quot;"/>
    <numFmt numFmtId="177" formatCode="0.0000"/>
    <numFmt numFmtId="178" formatCode="&quot;Vrai&quot;;&quot;Vrai&quot;;&quot;Faux&quot;"/>
    <numFmt numFmtId="179" formatCode="&quot;Actif&quot;;&quot;Actif&quot;;&quot;Inactif&quot;"/>
    <numFmt numFmtId="180" formatCode="[$-40C]dddd\ d\ mmmm\ yyyy"/>
    <numFmt numFmtId="181" formatCode="dd/mm/yy;@"/>
  </numFmts>
  <fonts count="61">
    <font>
      <sz val="10"/>
      <name val="Arial"/>
      <family val="2"/>
    </font>
    <font>
      <sz val="10"/>
      <name val="Open Sans"/>
      <family val="2"/>
    </font>
    <font>
      <b/>
      <sz val="10"/>
      <name val="Arial"/>
      <family val="2"/>
    </font>
    <font>
      <i/>
      <sz val="10"/>
      <name val="Arial"/>
      <family val="2"/>
    </font>
    <font>
      <i/>
      <sz val="10"/>
      <name val="Open Sans"/>
      <family val="2"/>
    </font>
    <font>
      <vertAlign val="superscript"/>
      <sz val="10"/>
      <name val="Open Sans"/>
      <family val="2"/>
    </font>
    <font>
      <b/>
      <sz val="22"/>
      <name val="Arial"/>
      <family val="2"/>
    </font>
    <font>
      <sz val="16"/>
      <name val="Arial"/>
      <family val="2"/>
    </font>
    <font>
      <b/>
      <sz val="16"/>
      <name val="Arial"/>
      <family val="2"/>
    </font>
    <font>
      <sz val="12"/>
      <name val="Arial"/>
      <family val="2"/>
    </font>
    <font>
      <b/>
      <sz val="12"/>
      <name val="Arial"/>
      <family val="2"/>
    </font>
    <font>
      <sz val="20"/>
      <name val="Arial"/>
      <family val="2"/>
    </font>
    <font>
      <sz val="10"/>
      <color indexed="10"/>
      <name val="Arial"/>
      <family val="2"/>
    </font>
    <font>
      <b/>
      <sz val="10"/>
      <name val="Open Sans"/>
      <family val="2"/>
    </font>
    <font>
      <b/>
      <sz val="14"/>
      <name val="Arial"/>
      <family val="2"/>
    </font>
    <font>
      <sz val="11"/>
      <name val="Arial"/>
      <family val="2"/>
    </font>
    <font>
      <b/>
      <sz val="10"/>
      <color indexed="10"/>
      <name val="Arial"/>
      <family val="2"/>
    </font>
    <font>
      <u val="single"/>
      <sz val="10"/>
      <color indexed="36"/>
      <name val="Arial"/>
      <family val="2"/>
    </font>
    <font>
      <u val="single"/>
      <sz val="10"/>
      <color indexed="12"/>
      <name val="Arial"/>
      <family val="2"/>
    </font>
    <font>
      <b/>
      <sz val="11"/>
      <name val="Arial"/>
      <family val="2"/>
    </font>
    <font>
      <sz val="8"/>
      <name val="Arial"/>
      <family val="2"/>
    </font>
    <font>
      <sz val="14"/>
      <name val="Arial"/>
      <family val="2"/>
    </font>
    <font>
      <sz val="12"/>
      <name val="Helv"/>
      <family val="0"/>
    </font>
    <font>
      <b/>
      <sz val="12"/>
      <name val="Helv"/>
      <family val="0"/>
    </font>
    <font>
      <sz val="11"/>
      <name val="Helv"/>
      <family val="0"/>
    </font>
    <font>
      <b/>
      <sz val="16"/>
      <name val="Helv"/>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indexed="44"/>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thin">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color indexed="8"/>
      </right>
      <top>
        <color indexed="63"/>
      </top>
      <bottom style="medium">
        <color indexed="8"/>
      </bottom>
    </border>
    <border>
      <left style="thick">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style="thin"/>
      <right style="thin"/>
      <top style="medium"/>
      <bottom style="thin"/>
    </border>
    <border>
      <left style="thin"/>
      <right style="thin"/>
      <top style="thin"/>
      <bottom style="thin"/>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style="medium"/>
      <top style="thin">
        <color indexed="8"/>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thin">
        <color indexed="8"/>
      </left>
      <right style="thin">
        <color indexed="8"/>
      </right>
      <top style="thin">
        <color indexed="8"/>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medium">
        <color indexed="8"/>
      </right>
      <top style="medium"/>
      <bottom style="medium"/>
    </border>
    <border>
      <left style="medium">
        <color indexed="8"/>
      </left>
      <right style="thin">
        <color indexed="8"/>
      </right>
      <top style="medium"/>
      <bottom style="medium"/>
    </border>
    <border>
      <left style="medium"/>
      <right style="medium">
        <color indexed="8"/>
      </right>
      <top style="medium"/>
      <bottom style="medium"/>
    </border>
    <border>
      <left>
        <color indexed="63"/>
      </left>
      <right>
        <color indexed="63"/>
      </right>
      <top>
        <color indexed="63"/>
      </top>
      <bottom style="thin">
        <color indexed="8"/>
      </bottom>
    </border>
    <border>
      <left style="thin">
        <color indexed="8"/>
      </left>
      <right>
        <color indexed="63"/>
      </right>
      <top style="medium"/>
      <bottom style="mediu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medium">
        <color indexed="8"/>
      </left>
      <right>
        <color indexed="63"/>
      </right>
      <top style="medium"/>
      <bottom>
        <color indexed="63"/>
      </bottom>
    </border>
    <border>
      <left style="medium"/>
      <right>
        <color indexed="63"/>
      </right>
      <top style="medium"/>
      <bottom>
        <color indexed="63"/>
      </bottom>
    </border>
    <border>
      <left style="thin"/>
      <right>
        <color indexed="63"/>
      </right>
      <top style="thin"/>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0" applyNumberFormat="0" applyBorder="0" applyAlignment="0" applyProtection="0"/>
    <xf numFmtId="0" fontId="47" fillId="27" borderId="1" applyNumberFormat="0" applyAlignment="0" applyProtection="0"/>
    <xf numFmtId="0" fontId="48" fillId="0" borderId="2" applyNumberFormat="0" applyFill="0" applyAlignment="0" applyProtection="0"/>
    <xf numFmtId="0" fontId="49" fillId="28" borderId="1" applyNumberFormat="0" applyAlignment="0" applyProtection="0"/>
    <xf numFmtId="0" fontId="50" fillId="29" borderId="0" applyNumberFormat="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1" fillId="30" borderId="0" applyNumberFormat="0" applyBorder="0" applyAlignment="0" applyProtection="0"/>
    <xf numFmtId="9" fontId="0" fillId="0" borderId="0" applyFill="0" applyBorder="0" applyAlignment="0" applyProtection="0"/>
    <xf numFmtId="0" fontId="0" fillId="31" borderId="3" applyNumberFormat="0" applyFont="0" applyAlignment="0" applyProtection="0"/>
    <xf numFmtId="0" fontId="52" fillId="27"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494">
    <xf numFmtId="0" fontId="0" fillId="0" borderId="0" xfId="0" applyAlignment="1">
      <alignment/>
    </xf>
    <xf numFmtId="0" fontId="0" fillId="33" borderId="0" xfId="0" applyFont="1" applyFill="1" applyAlignment="1" applyProtection="1">
      <alignment horizontal="left" vertical="center"/>
      <protection/>
    </xf>
    <xf numFmtId="0" fontId="0" fillId="33" borderId="0" xfId="0" applyFill="1" applyAlignment="1">
      <alignment/>
    </xf>
    <xf numFmtId="0" fontId="0" fillId="33" borderId="0" xfId="0" applyFill="1" applyAlignment="1">
      <alignment horizontal="center"/>
    </xf>
    <xf numFmtId="0" fontId="1" fillId="33" borderId="0" xfId="0" applyFont="1" applyFill="1" applyAlignment="1">
      <alignment/>
    </xf>
    <xf numFmtId="0" fontId="1" fillId="33" borderId="0" xfId="0" applyFont="1" applyFill="1" applyAlignment="1">
      <alignment horizontal="center"/>
    </xf>
    <xf numFmtId="0" fontId="2" fillId="0" borderId="10" xfId="0" applyFont="1" applyBorder="1" applyAlignment="1" applyProtection="1">
      <alignment vertical="center"/>
      <protection/>
    </xf>
    <xf numFmtId="0" fontId="0" fillId="0" borderId="10" xfId="0" applyFont="1" applyBorder="1" applyAlignment="1" applyProtection="1">
      <alignment vertical="center"/>
      <protection locked="0"/>
    </xf>
    <xf numFmtId="0" fontId="1" fillId="0" borderId="0" xfId="0" applyFont="1" applyAlignment="1">
      <alignment/>
    </xf>
    <xf numFmtId="0" fontId="0" fillId="0" borderId="10" xfId="0" applyFont="1" applyBorder="1" applyAlignment="1">
      <alignment/>
    </xf>
    <xf numFmtId="0" fontId="0" fillId="34" borderId="10" xfId="0" applyFill="1" applyBorder="1" applyAlignment="1" applyProtection="1">
      <alignment horizontal="center"/>
      <protection locked="0"/>
    </xf>
    <xf numFmtId="10" fontId="0" fillId="0" borderId="0" xfId="0" applyNumberFormat="1" applyAlignment="1">
      <alignment/>
    </xf>
    <xf numFmtId="0" fontId="1" fillId="0" borderId="10" xfId="0" applyFont="1" applyFill="1" applyBorder="1" applyAlignment="1" applyProtection="1">
      <alignment vertical="center"/>
      <protection/>
    </xf>
    <xf numFmtId="0" fontId="1" fillId="34" borderId="10" xfId="0" applyFont="1" applyFill="1" applyBorder="1" applyAlignment="1" applyProtection="1">
      <alignment horizontal="center" vertical="center"/>
      <protection locked="0"/>
    </xf>
    <xf numFmtId="14" fontId="1" fillId="34" borderId="10" xfId="0" applyNumberFormat="1"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10" xfId="0"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1" fillId="0" borderId="0" xfId="0" applyFont="1" applyFill="1" applyBorder="1" applyAlignment="1" applyProtection="1">
      <alignment vertical="center"/>
      <protection/>
    </xf>
    <xf numFmtId="4" fontId="3" fillId="0" borderId="0" xfId="0" applyNumberFormat="1" applyFont="1" applyAlignment="1" applyProtection="1">
      <alignment horizontal="center" vertical="center"/>
      <protection/>
    </xf>
    <xf numFmtId="0" fontId="4" fillId="0" borderId="0" xfId="0" applyFont="1" applyBorder="1" applyAlignment="1" applyProtection="1">
      <alignment horizontal="center" vertical="center"/>
      <protection/>
    </xf>
    <xf numFmtId="172" fontId="0" fillId="0" borderId="0" xfId="0" applyNumberFormat="1" applyAlignment="1">
      <alignment/>
    </xf>
    <xf numFmtId="3" fontId="0" fillId="0" borderId="0" xfId="0" applyNumberFormat="1" applyAlignment="1">
      <alignment/>
    </xf>
    <xf numFmtId="0" fontId="1" fillId="0" borderId="11" xfId="0" applyFont="1" applyFill="1" applyBorder="1" applyAlignment="1" applyProtection="1">
      <alignment vertical="center"/>
      <protection/>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5" xfId="0" applyBorder="1" applyAlignment="1" applyProtection="1">
      <alignment vertical="center"/>
      <protection/>
    </xf>
    <xf numFmtId="0" fontId="1" fillId="0" borderId="17" xfId="0"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0" fontId="1" fillId="0" borderId="19"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protection/>
    </xf>
    <xf numFmtId="0" fontId="1" fillId="0" borderId="0" xfId="0" applyFont="1" applyFill="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0" fillId="0" borderId="0" xfId="0"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Font="1" applyBorder="1" applyAlignment="1">
      <alignment horizontal="center"/>
    </xf>
    <xf numFmtId="0" fontId="0" fillId="0" borderId="28" xfId="0" applyBorder="1" applyAlignment="1">
      <alignment/>
    </xf>
    <xf numFmtId="0" fontId="0" fillId="0" borderId="26" xfId="0" applyNumberFormat="1" applyBorder="1" applyAlignment="1">
      <alignment/>
    </xf>
    <xf numFmtId="0" fontId="0" fillId="0" borderId="29" xfId="0" applyFont="1" applyBorder="1" applyAlignment="1">
      <alignment horizontal="center" vertical="center" wrapText="1"/>
    </xf>
    <xf numFmtId="0" fontId="0" fillId="0" borderId="30" xfId="0" applyBorder="1" applyAlignment="1">
      <alignment/>
    </xf>
    <xf numFmtId="0" fontId="0" fillId="0" borderId="10" xfId="0" applyBorder="1" applyAlignment="1">
      <alignment/>
    </xf>
    <xf numFmtId="0" fontId="0" fillId="0" borderId="31" xfId="0" applyBorder="1" applyAlignment="1">
      <alignment/>
    </xf>
    <xf numFmtId="0" fontId="0" fillId="0" borderId="32" xfId="0" applyFont="1" applyBorder="1" applyAlignment="1">
      <alignment horizontal="center"/>
    </xf>
    <xf numFmtId="0" fontId="0" fillId="0" borderId="32" xfId="0" applyBorder="1" applyAlignment="1">
      <alignment/>
    </xf>
    <xf numFmtId="0" fontId="0" fillId="0" borderId="10" xfId="0" applyNumberFormat="1" applyBorder="1" applyAlignment="1">
      <alignment/>
    </xf>
    <xf numFmtId="0" fontId="0" fillId="0" borderId="33" xfId="0" applyFont="1" applyBorder="1" applyAlignment="1">
      <alignment horizontal="center"/>
    </xf>
    <xf numFmtId="0" fontId="0" fillId="0" borderId="10" xfId="0" applyFill="1" applyBorder="1" applyAlignment="1">
      <alignment/>
    </xf>
    <xf numFmtId="0" fontId="2" fillId="0" borderId="0" xfId="0" applyFont="1" applyAlignment="1">
      <alignment/>
    </xf>
    <xf numFmtId="0" fontId="2" fillId="0" borderId="0" xfId="0" applyFont="1" applyAlignment="1">
      <alignment horizontal="lef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ont="1" applyBorder="1" applyAlignment="1">
      <alignment horizontal="center"/>
    </xf>
    <xf numFmtId="0" fontId="0" fillId="0" borderId="34" xfId="0" applyFill="1" applyBorder="1" applyAlignment="1">
      <alignment/>
    </xf>
    <xf numFmtId="0" fontId="0" fillId="0" borderId="37" xfId="0" applyBorder="1" applyAlignment="1">
      <alignment/>
    </xf>
    <xf numFmtId="0" fontId="0" fillId="0" borderId="38" xfId="0" applyFont="1" applyBorder="1" applyAlignment="1">
      <alignment horizontal="center"/>
    </xf>
    <xf numFmtId="0" fontId="0" fillId="35" borderId="37" xfId="0" applyFill="1" applyBorder="1" applyAlignment="1">
      <alignment/>
    </xf>
    <xf numFmtId="0" fontId="0" fillId="0" borderId="0" xfId="0" applyBorder="1" applyAlignment="1">
      <alignment horizontal="center"/>
    </xf>
    <xf numFmtId="0" fontId="0" fillId="0" borderId="0" xfId="0" applyBorder="1" applyAlignment="1">
      <alignment/>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Border="1" applyAlignment="1">
      <alignment horizontal="center" vertical="center" wrapText="1"/>
    </xf>
    <xf numFmtId="0" fontId="0" fillId="0" borderId="43" xfId="0" applyBorder="1" applyAlignment="1">
      <alignment/>
    </xf>
    <xf numFmtId="0" fontId="0" fillId="0" borderId="41" xfId="0" applyBorder="1" applyAlignment="1">
      <alignment/>
    </xf>
    <xf numFmtId="0" fontId="0" fillId="0" borderId="44" xfId="0" applyBorder="1" applyAlignment="1">
      <alignment/>
    </xf>
    <xf numFmtId="0" fontId="0" fillId="0" borderId="45" xfId="0" applyFont="1" applyBorder="1" applyAlignment="1">
      <alignment horizontal="center" vertical="center" wrapText="1"/>
    </xf>
    <xf numFmtId="0" fontId="0" fillId="0" borderId="46" xfId="0" applyBorder="1" applyAlignment="1">
      <alignment/>
    </xf>
    <xf numFmtId="0" fontId="0" fillId="0" borderId="32" xfId="0" applyFont="1" applyBorder="1" applyAlignment="1">
      <alignment horizontal="center" vertical="center" wrapText="1"/>
    </xf>
    <xf numFmtId="0" fontId="0" fillId="35" borderId="30" xfId="0" applyFill="1" applyBorder="1" applyAlignment="1">
      <alignment/>
    </xf>
    <xf numFmtId="0" fontId="0" fillId="35" borderId="31" xfId="0" applyFill="1" applyBorder="1" applyAlignment="1">
      <alignment/>
    </xf>
    <xf numFmtId="0" fontId="0" fillId="35" borderId="10" xfId="0" applyFill="1" applyBorder="1" applyAlignment="1">
      <alignment/>
    </xf>
    <xf numFmtId="0" fontId="0" fillId="35" borderId="32" xfId="0" applyFill="1" applyBorder="1" applyAlignment="1">
      <alignment horizontal="center"/>
    </xf>
    <xf numFmtId="0" fontId="0" fillId="0" borderId="0" xfId="0" applyFill="1" applyBorder="1" applyAlignment="1">
      <alignment/>
    </xf>
    <xf numFmtId="0" fontId="0" fillId="0" borderId="46" xfId="0" applyFill="1" applyBorder="1" applyAlignment="1">
      <alignment/>
    </xf>
    <xf numFmtId="0" fontId="0" fillId="0" borderId="47" xfId="0" applyBorder="1" applyAlignment="1">
      <alignment/>
    </xf>
    <xf numFmtId="0" fontId="0" fillId="0" borderId="37" xfId="0" applyFont="1" applyBorder="1" applyAlignment="1">
      <alignment horizontal="center" vertical="center" wrapText="1"/>
    </xf>
    <xf numFmtId="0" fontId="0" fillId="34" borderId="10" xfId="0" applyFont="1" applyFill="1" applyBorder="1" applyAlignment="1" applyProtection="1">
      <alignment horizontal="center"/>
      <protection locked="0"/>
    </xf>
    <xf numFmtId="0" fontId="0" fillId="0" borderId="48" xfId="0" applyFont="1" applyBorder="1" applyAlignment="1">
      <alignment horizontal="center" vertical="center" wrapText="1"/>
    </xf>
    <xf numFmtId="14" fontId="0" fillId="0" borderId="0" xfId="0" applyNumberFormat="1" applyBorder="1" applyAlignment="1">
      <alignment/>
    </xf>
    <xf numFmtId="0" fontId="0" fillId="0" borderId="25" xfId="0" applyFill="1" applyBorder="1" applyAlignment="1">
      <alignment/>
    </xf>
    <xf numFmtId="0" fontId="0" fillId="0" borderId="42" xfId="0" applyBorder="1" applyAlignment="1">
      <alignment/>
    </xf>
    <xf numFmtId="0" fontId="0" fillId="0" borderId="28" xfId="0" applyNumberFormat="1" applyBorder="1" applyAlignment="1">
      <alignment/>
    </xf>
    <xf numFmtId="0" fontId="0" fillId="0" borderId="32" xfId="0" applyNumberFormat="1" applyBorder="1" applyAlignment="1">
      <alignment/>
    </xf>
    <xf numFmtId="0" fontId="0" fillId="0" borderId="0" xfId="0" applyFont="1" applyBorder="1" applyAlignment="1">
      <alignment/>
    </xf>
    <xf numFmtId="0" fontId="0" fillId="0" borderId="0" xfId="0" applyFill="1" applyBorder="1" applyAlignment="1" applyProtection="1">
      <alignment horizontal="center"/>
      <protection locked="0"/>
    </xf>
    <xf numFmtId="0" fontId="0" fillId="0" borderId="49" xfId="0" applyBorder="1" applyAlignment="1">
      <alignment/>
    </xf>
    <xf numFmtId="0" fontId="0" fillId="0" borderId="50" xfId="0" applyBorder="1" applyAlignment="1">
      <alignment/>
    </xf>
    <xf numFmtId="0" fontId="0" fillId="0" borderId="37" xfId="0" applyNumberFormat="1" applyBorder="1" applyAlignment="1">
      <alignment/>
    </xf>
    <xf numFmtId="0" fontId="1" fillId="0" borderId="30" xfId="0" applyFont="1" applyFill="1" applyBorder="1" applyAlignment="1" applyProtection="1">
      <alignment vertical="center"/>
      <protection/>
    </xf>
    <xf numFmtId="0" fontId="0" fillId="0" borderId="49" xfId="0" applyBorder="1" applyAlignment="1" applyProtection="1">
      <alignment vertical="center"/>
      <protection/>
    </xf>
    <xf numFmtId="0" fontId="1" fillId="0" borderId="32" xfId="0" applyFont="1" applyFill="1" applyBorder="1" applyAlignment="1" applyProtection="1">
      <alignment horizontal="center" vertical="center"/>
      <protection/>
    </xf>
    <xf numFmtId="0" fontId="1" fillId="0" borderId="34" xfId="0" applyFont="1" applyFill="1" applyBorder="1" applyAlignment="1" applyProtection="1">
      <alignment vertical="center"/>
      <protection/>
    </xf>
    <xf numFmtId="0" fontId="1" fillId="34" borderId="35" xfId="0" applyFont="1" applyFill="1" applyBorder="1" applyAlignment="1" applyProtection="1">
      <alignment horizontal="center" vertical="center"/>
      <protection locked="0"/>
    </xf>
    <xf numFmtId="0" fontId="1" fillId="34" borderId="37" xfId="0" applyFont="1" applyFill="1" applyBorder="1" applyAlignment="1" applyProtection="1">
      <alignment horizontal="center" vertical="center"/>
      <protection locked="0"/>
    </xf>
    <xf numFmtId="0" fontId="0" fillId="0" borderId="43" xfId="0" applyFill="1" applyBorder="1" applyAlignment="1">
      <alignment/>
    </xf>
    <xf numFmtId="0" fontId="0" fillId="0" borderId="41" xfId="0" applyFill="1" applyBorder="1" applyAlignment="1">
      <alignment/>
    </xf>
    <xf numFmtId="0" fontId="0" fillId="0" borderId="42" xfId="0" applyFill="1" applyBorder="1" applyAlignment="1">
      <alignment/>
    </xf>
    <xf numFmtId="0" fontId="11"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xf>
    <xf numFmtId="0" fontId="2" fillId="0" borderId="0" xfId="0" applyFont="1" applyBorder="1" applyAlignment="1">
      <alignment horizontal="left"/>
    </xf>
    <xf numFmtId="0" fontId="0" fillId="0" borderId="0" xfId="0" applyBorder="1" applyAlignment="1">
      <alignment horizontal="left"/>
    </xf>
    <xf numFmtId="14" fontId="1" fillId="0" borderId="10" xfId="0" applyNumberFormat="1" applyFont="1" applyFill="1" applyBorder="1" applyAlignment="1" applyProtection="1">
      <alignment horizontal="center" vertical="center"/>
      <protection locked="0"/>
    </xf>
    <xf numFmtId="0" fontId="0" fillId="0" borderId="0" xfId="0" applyBorder="1" applyAlignment="1">
      <alignment horizontal="right"/>
    </xf>
    <xf numFmtId="0" fontId="0" fillId="0" borderId="0" xfId="0" applyAlignment="1">
      <alignment horizontal="left" vertical="center" wrapText="1"/>
    </xf>
    <xf numFmtId="0" fontId="12" fillId="0" borderId="0" xfId="0" applyFont="1" applyAlignment="1">
      <alignment/>
    </xf>
    <xf numFmtId="0" fontId="0" fillId="0" borderId="0" xfId="0" applyNumberFormat="1" applyBorder="1" applyAlignment="1">
      <alignmen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2" fillId="0" borderId="51" xfId="0" applyFont="1" applyBorder="1" applyAlignment="1">
      <alignment/>
    </xf>
    <xf numFmtId="0" fontId="2" fillId="0" borderId="52" xfId="0" applyFont="1" applyBorder="1" applyAlignment="1">
      <alignment/>
    </xf>
    <xf numFmtId="0" fontId="0" fillId="0" borderId="52" xfId="0" applyBorder="1" applyAlignment="1">
      <alignment/>
    </xf>
    <xf numFmtId="0" fontId="0" fillId="0" borderId="53" xfId="0" applyBorder="1" applyAlignment="1">
      <alignment/>
    </xf>
    <xf numFmtId="0" fontId="2" fillId="0" borderId="53"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0" xfId="0" applyBorder="1" applyAlignment="1">
      <alignment horizontal="center"/>
    </xf>
    <xf numFmtId="0" fontId="0" fillId="0" borderId="0" xfId="0" applyFont="1" applyBorder="1" applyAlignment="1">
      <alignment horizontal="center"/>
    </xf>
    <xf numFmtId="0" fontId="0" fillId="0" borderId="50" xfId="0" applyFont="1" applyBorder="1" applyAlignment="1">
      <alignment horizontal="center"/>
    </xf>
    <xf numFmtId="0" fontId="0" fillId="0" borderId="49" xfId="0" applyFont="1" applyBorder="1" applyAlignment="1">
      <alignment horizontal="left" vertical="center" wrapText="1"/>
    </xf>
    <xf numFmtId="0" fontId="0" fillId="0" borderId="0" xfId="0" applyFont="1" applyAlignment="1">
      <alignment/>
    </xf>
    <xf numFmtId="0" fontId="0" fillId="0" borderId="54" xfId="0" applyBorder="1" applyAlignment="1">
      <alignment/>
    </xf>
    <xf numFmtId="0" fontId="0" fillId="0" borderId="55" xfId="0" applyBorder="1" applyAlignment="1">
      <alignment/>
    </xf>
    <xf numFmtId="14" fontId="1" fillId="0" borderId="37" xfId="0" applyNumberFormat="1" applyFont="1" applyFill="1" applyBorder="1" applyAlignment="1" applyProtection="1">
      <alignment horizontal="center" vertical="center"/>
      <protection locked="0"/>
    </xf>
    <xf numFmtId="0" fontId="0" fillId="0" borderId="54" xfId="0" applyFont="1" applyBorder="1" applyAlignment="1">
      <alignment/>
    </xf>
    <xf numFmtId="0" fontId="0" fillId="0" borderId="55" xfId="0" applyFont="1" applyBorder="1" applyAlignment="1">
      <alignment/>
    </xf>
    <xf numFmtId="14" fontId="1" fillId="0" borderId="0" xfId="0" applyNumberFormat="1" applyFont="1" applyFill="1" applyBorder="1" applyAlignment="1" applyProtection="1">
      <alignment horizontal="center" vertical="center"/>
      <protection locked="0"/>
    </xf>
    <xf numFmtId="14" fontId="0" fillId="0" borderId="0" xfId="0" applyNumberFormat="1" applyAlignment="1">
      <alignment/>
    </xf>
    <xf numFmtId="0" fontId="0" fillId="0" borderId="24" xfId="0" applyFont="1" applyBorder="1" applyAlignment="1">
      <alignment horizontal="center" wrapText="1"/>
    </xf>
    <xf numFmtId="0" fontId="0" fillId="0" borderId="56" xfId="0" applyFont="1" applyBorder="1" applyAlignment="1">
      <alignment horizontal="center" wrapText="1"/>
    </xf>
    <xf numFmtId="0" fontId="0" fillId="0" borderId="25" xfId="0" applyFont="1" applyBorder="1" applyAlignment="1">
      <alignment horizontal="center"/>
    </xf>
    <xf numFmtId="0" fontId="0" fillId="0" borderId="26" xfId="0" applyFont="1" applyBorder="1" applyAlignment="1">
      <alignment horizontal="center"/>
    </xf>
    <xf numFmtId="0" fontId="0" fillId="0" borderId="57" xfId="0" applyFont="1" applyBorder="1" applyAlignment="1">
      <alignment horizontal="center"/>
    </xf>
    <xf numFmtId="0" fontId="0" fillId="0" borderId="58" xfId="0" applyFont="1" applyBorder="1" applyAlignment="1">
      <alignment horizontal="center"/>
    </xf>
    <xf numFmtId="0" fontId="0" fillId="0" borderId="43" xfId="0" applyFont="1" applyBorder="1" applyAlignment="1">
      <alignment horizontal="center"/>
    </xf>
    <xf numFmtId="0" fontId="0" fillId="0" borderId="41" xfId="0" applyFont="1" applyBorder="1" applyAlignment="1">
      <alignment horizontal="center"/>
    </xf>
    <xf numFmtId="0" fontId="0" fillId="0" borderId="44" xfId="0" applyFont="1" applyBorder="1" applyAlignment="1">
      <alignment horizontal="center"/>
    </xf>
    <xf numFmtId="0" fontId="0" fillId="0" borderId="29" xfId="0" applyFont="1" applyBorder="1" applyAlignment="1">
      <alignment horizontal="center"/>
    </xf>
    <xf numFmtId="14" fontId="0" fillId="0" borderId="10" xfId="0" applyNumberFormat="1" applyBorder="1" applyAlignment="1">
      <alignment/>
    </xf>
    <xf numFmtId="14" fontId="0" fillId="0" borderId="46" xfId="0" applyNumberFormat="1" applyBorder="1" applyAlignment="1">
      <alignment/>
    </xf>
    <xf numFmtId="0" fontId="0" fillId="0" borderId="33" xfId="0" applyBorder="1" applyAlignment="1">
      <alignment/>
    </xf>
    <xf numFmtId="14" fontId="0" fillId="0" borderId="35" xfId="0" applyNumberFormat="1" applyBorder="1" applyAlignment="1">
      <alignment/>
    </xf>
    <xf numFmtId="14" fontId="0" fillId="0" borderId="47" xfId="0" applyNumberFormat="1" applyBorder="1" applyAlignment="1">
      <alignment/>
    </xf>
    <xf numFmtId="0" fontId="0" fillId="0" borderId="38" xfId="0" applyBorder="1" applyAlignment="1">
      <alignment/>
    </xf>
    <xf numFmtId="0" fontId="0" fillId="0" borderId="59" xfId="0" applyFont="1" applyBorder="1" applyAlignment="1">
      <alignment horizontal="center"/>
    </xf>
    <xf numFmtId="0" fontId="0" fillId="0" borderId="60" xfId="0" applyBorder="1" applyAlignment="1">
      <alignment/>
    </xf>
    <xf numFmtId="0" fontId="0" fillId="0" borderId="61" xfId="0"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8"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43" xfId="0" applyFont="1" applyBorder="1" applyAlignment="1">
      <alignment horizontal="center"/>
    </xf>
    <xf numFmtId="0" fontId="0" fillId="0" borderId="10" xfId="0" applyFont="1" applyBorder="1" applyAlignment="1">
      <alignment horizontal="center"/>
    </xf>
    <xf numFmtId="0" fontId="2" fillId="0" borderId="30" xfId="0" applyFont="1" applyBorder="1" applyAlignment="1">
      <alignment horizontal="center"/>
    </xf>
    <xf numFmtId="0" fontId="2" fillId="0" borderId="34" xfId="0" applyFont="1" applyBorder="1" applyAlignment="1">
      <alignment horizontal="center"/>
    </xf>
    <xf numFmtId="1" fontId="0" fillId="0" borderId="0" xfId="0" applyNumberFormat="1" applyFont="1" applyAlignment="1" applyProtection="1">
      <alignment horizontal="center" vertical="center"/>
      <protection/>
    </xf>
    <xf numFmtId="1" fontId="0" fillId="0" borderId="0" xfId="0" applyNumberFormat="1" applyFont="1" applyAlignment="1">
      <alignment horizontal="center"/>
    </xf>
    <xf numFmtId="0" fontId="1" fillId="0" borderId="18" xfId="0" applyFont="1" applyFill="1" applyBorder="1" applyAlignment="1" applyProtection="1">
      <alignment vertical="center" wrapText="1"/>
      <protection/>
    </xf>
    <xf numFmtId="0" fontId="0" fillId="0" borderId="0" xfId="0" applyAlignment="1">
      <alignment horizontal="right" vertical="center"/>
    </xf>
    <xf numFmtId="14" fontId="1" fillId="0" borderId="0" xfId="0" applyNumberFormat="1" applyFont="1" applyFill="1" applyBorder="1" applyAlignment="1" applyProtection="1">
      <alignment horizontal="left" vertical="center" wrapText="1"/>
      <protection locked="0"/>
    </xf>
    <xf numFmtId="0" fontId="1" fillId="36" borderId="43" xfId="0" applyFont="1" applyFill="1" applyBorder="1" applyAlignment="1" applyProtection="1">
      <alignment vertical="center"/>
      <protection/>
    </xf>
    <xf numFmtId="0" fontId="0" fillId="36" borderId="41" xfId="0" applyFill="1" applyBorder="1" applyAlignment="1">
      <alignment horizontal="center"/>
    </xf>
    <xf numFmtId="0" fontId="0" fillId="36" borderId="52" xfId="0" applyFill="1" applyBorder="1" applyAlignment="1">
      <alignment/>
    </xf>
    <xf numFmtId="0" fontId="0" fillId="36" borderId="53" xfId="0" applyFill="1" applyBorder="1" applyAlignment="1">
      <alignment/>
    </xf>
    <xf numFmtId="0" fontId="0" fillId="36" borderId="49" xfId="0" applyFill="1" applyBorder="1" applyAlignment="1">
      <alignment/>
    </xf>
    <xf numFmtId="0" fontId="0" fillId="36" borderId="0" xfId="0" applyFill="1" applyBorder="1" applyAlignment="1">
      <alignment/>
    </xf>
    <xf numFmtId="0" fontId="0" fillId="36" borderId="50" xfId="0" applyFill="1" applyBorder="1" applyAlignment="1">
      <alignment/>
    </xf>
    <xf numFmtId="0" fontId="0" fillId="36" borderId="49" xfId="0" applyFill="1" applyBorder="1" applyAlignment="1" applyProtection="1">
      <alignment vertical="center"/>
      <protection/>
    </xf>
    <xf numFmtId="0" fontId="1" fillId="36" borderId="10" xfId="0" applyFont="1" applyFill="1" applyBorder="1" applyAlignment="1" applyProtection="1">
      <alignment horizontal="center" vertical="center"/>
      <protection/>
    </xf>
    <xf numFmtId="0" fontId="1" fillId="36" borderId="32" xfId="0" applyFont="1" applyFill="1" applyBorder="1" applyAlignment="1" applyProtection="1">
      <alignment horizontal="center" vertical="center"/>
      <protection/>
    </xf>
    <xf numFmtId="0" fontId="1" fillId="36" borderId="34" xfId="0" applyFont="1" applyFill="1" applyBorder="1" applyAlignment="1" applyProtection="1">
      <alignment vertical="center" wrapText="1"/>
      <protection/>
    </xf>
    <xf numFmtId="1" fontId="0" fillId="36" borderId="55" xfId="0" applyNumberFormat="1" applyFont="1" applyFill="1" applyBorder="1" applyAlignment="1" applyProtection="1">
      <alignment horizontal="center" vertical="center"/>
      <protection/>
    </xf>
    <xf numFmtId="1" fontId="0" fillId="36" borderId="62" xfId="0" applyNumberFormat="1" applyFont="1" applyFill="1" applyBorder="1" applyAlignment="1">
      <alignment horizontal="center"/>
    </xf>
    <xf numFmtId="0" fontId="13" fillId="0" borderId="10" xfId="0" applyFont="1" applyFill="1" applyBorder="1" applyAlignment="1" applyProtection="1">
      <alignment vertical="center"/>
      <protection/>
    </xf>
    <xf numFmtId="14" fontId="13" fillId="0" borderId="10" xfId="0" applyNumberFormat="1" applyFont="1" applyFill="1" applyBorder="1" applyAlignment="1" applyProtection="1">
      <alignment horizontal="center" vertical="center"/>
      <protection locked="0"/>
    </xf>
    <xf numFmtId="0" fontId="13" fillId="37" borderId="11" xfId="0" applyFont="1" applyFill="1" applyBorder="1" applyAlignment="1" applyProtection="1">
      <alignment vertical="center"/>
      <protection/>
    </xf>
    <xf numFmtId="0" fontId="0" fillId="37" borderId="12" xfId="0" applyFill="1" applyBorder="1" applyAlignment="1">
      <alignment horizontal="center"/>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0" xfId="0" applyFill="1" applyAlignment="1">
      <alignment/>
    </xf>
    <xf numFmtId="0" fontId="0" fillId="37" borderId="16" xfId="0" applyFill="1" applyBorder="1" applyAlignment="1">
      <alignment/>
    </xf>
    <xf numFmtId="0" fontId="0" fillId="37" borderId="15" xfId="0" applyFill="1" applyBorder="1" applyAlignment="1" applyProtection="1">
      <alignment vertical="center"/>
      <protection/>
    </xf>
    <xf numFmtId="0" fontId="1" fillId="37" borderId="10" xfId="0" applyFont="1" applyFill="1" applyBorder="1" applyAlignment="1" applyProtection="1">
      <alignment horizontal="center" vertical="center"/>
      <protection/>
    </xf>
    <xf numFmtId="0" fontId="1" fillId="37" borderId="17" xfId="0" applyFont="1" applyFill="1" applyBorder="1" applyAlignment="1" applyProtection="1">
      <alignment horizontal="center" vertical="center"/>
      <protection/>
    </xf>
    <xf numFmtId="0" fontId="1" fillId="37" borderId="63" xfId="0" applyFont="1" applyFill="1" applyBorder="1" applyAlignment="1" applyProtection="1">
      <alignment vertical="center" wrapText="1"/>
      <protection/>
    </xf>
    <xf numFmtId="0" fontId="1" fillId="37" borderId="61" xfId="0" applyFont="1" applyFill="1" applyBorder="1" applyAlignment="1" applyProtection="1">
      <alignment horizontal="center" vertical="center"/>
      <protection/>
    </xf>
    <xf numFmtId="0" fontId="1" fillId="37" borderId="64" xfId="0" applyFont="1" applyFill="1" applyBorder="1" applyAlignment="1" applyProtection="1">
      <alignment horizontal="center" vertical="center"/>
      <protection/>
    </xf>
    <xf numFmtId="0" fontId="0" fillId="37" borderId="51" xfId="0" applyFont="1" applyFill="1" applyBorder="1" applyAlignment="1" applyProtection="1">
      <alignment vertical="center"/>
      <protection/>
    </xf>
    <xf numFmtId="0" fontId="0" fillId="37" borderId="41" xfId="0" applyFill="1" applyBorder="1" applyAlignment="1" applyProtection="1">
      <alignment vertical="center"/>
      <protection/>
    </xf>
    <xf numFmtId="0" fontId="0" fillId="37" borderId="52" xfId="0" applyFill="1" applyBorder="1" applyAlignment="1" applyProtection="1">
      <alignment vertical="center"/>
      <protection/>
    </xf>
    <xf numFmtId="0" fontId="0" fillId="37" borderId="53" xfId="0" applyFill="1" applyBorder="1" applyAlignment="1" applyProtection="1">
      <alignment vertical="center"/>
      <protection/>
    </xf>
    <xf numFmtId="0" fontId="0" fillId="37" borderId="54" xfId="0" applyFont="1" applyFill="1" applyBorder="1" applyAlignment="1">
      <alignment/>
    </xf>
    <xf numFmtId="0" fontId="0" fillId="37" borderId="35" xfId="0" applyFill="1" applyBorder="1" applyAlignment="1">
      <alignment/>
    </xf>
    <xf numFmtId="0" fontId="0" fillId="37" borderId="55" xfId="0" applyFont="1" applyFill="1" applyBorder="1" applyAlignment="1">
      <alignment/>
    </xf>
    <xf numFmtId="14" fontId="1" fillId="37" borderId="62" xfId="0" applyNumberFormat="1"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36" borderId="54" xfId="0" applyFont="1" applyFill="1" applyBorder="1" applyAlignment="1" applyProtection="1">
      <alignment vertical="center" wrapText="1"/>
      <protection/>
    </xf>
    <xf numFmtId="0" fontId="0" fillId="36" borderId="35" xfId="0" applyFill="1" applyBorder="1" applyAlignment="1">
      <alignment horizontal="center"/>
    </xf>
    <xf numFmtId="0" fontId="0" fillId="36" borderId="37" xfId="0" applyFill="1" applyBorder="1" applyAlignment="1">
      <alignment horizontal="center"/>
    </xf>
    <xf numFmtId="0" fontId="0" fillId="0" borderId="0" xfId="0" applyFill="1" applyBorder="1" applyAlignment="1">
      <alignment horizontal="center"/>
    </xf>
    <xf numFmtId="0" fontId="1" fillId="0" borderId="10" xfId="0" applyFont="1" applyFill="1" applyBorder="1" applyAlignment="1" applyProtection="1">
      <alignment horizontal="left" vertical="center"/>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0" xfId="0" applyAlignment="1">
      <alignment wrapText="1"/>
    </xf>
    <xf numFmtId="0" fontId="0" fillId="0" borderId="65" xfId="0" applyBorder="1" applyAlignment="1">
      <alignment/>
    </xf>
    <xf numFmtId="0" fontId="10" fillId="0" borderId="0" xfId="0" applyFont="1" applyBorder="1" applyAlignment="1" applyProtection="1">
      <alignment horizontal="center" vertical="center" wrapText="1"/>
      <protection/>
    </xf>
    <xf numFmtId="0" fontId="0" fillId="0" borderId="26" xfId="0" applyFont="1" applyBorder="1" applyAlignment="1">
      <alignment/>
    </xf>
    <xf numFmtId="0" fontId="0" fillId="34" borderId="26" xfId="0" applyFill="1" applyBorder="1" applyAlignment="1" applyProtection="1">
      <alignment horizontal="center"/>
      <protection locked="0"/>
    </xf>
    <xf numFmtId="0" fontId="0" fillId="0" borderId="0" xfId="0" applyAlignment="1">
      <alignment horizontal="center"/>
    </xf>
    <xf numFmtId="0" fontId="2" fillId="0" borderId="0" xfId="0" applyFont="1" applyAlignment="1">
      <alignment horizontal="center"/>
    </xf>
    <xf numFmtId="0" fontId="0" fillId="0" borderId="0" xfId="0" applyFont="1" applyAlignment="1" quotePrefix="1">
      <alignment/>
    </xf>
    <xf numFmtId="0" fontId="0" fillId="0" borderId="66" xfId="0" applyBorder="1" applyAlignment="1">
      <alignment/>
    </xf>
    <xf numFmtId="14" fontId="1" fillId="0" borderId="66" xfId="0" applyNumberFormat="1" applyFont="1" applyFill="1" applyBorder="1" applyAlignment="1" applyProtection="1">
      <alignment horizontal="center" vertical="center"/>
      <protection locked="0"/>
    </xf>
    <xf numFmtId="0" fontId="1" fillId="0" borderId="66" xfId="0" applyFont="1" applyFill="1" applyBorder="1" applyAlignment="1" applyProtection="1">
      <alignment horizontal="center" vertical="center"/>
      <protection/>
    </xf>
    <xf numFmtId="0" fontId="1" fillId="0" borderId="67" xfId="0" applyFont="1" applyFill="1" applyBorder="1" applyAlignment="1" applyProtection="1">
      <alignment horizontal="center" vertical="center"/>
      <protection/>
    </xf>
    <xf numFmtId="0" fontId="1" fillId="0" borderId="61" xfId="0" applyFont="1" applyFill="1" applyBorder="1" applyAlignment="1" applyProtection="1">
      <alignment horizontal="center" vertical="center"/>
      <protection/>
    </xf>
    <xf numFmtId="0" fontId="0" fillId="0" borderId="66" xfId="0" applyBorder="1" applyAlignment="1">
      <alignment horizontal="center"/>
    </xf>
    <xf numFmtId="0" fontId="0" fillId="0" borderId="66" xfId="0" applyFont="1" applyBorder="1" applyAlignment="1">
      <alignment horizontal="center"/>
    </xf>
    <xf numFmtId="0" fontId="0" fillId="0" borderId="0" xfId="0" applyBorder="1" applyAlignment="1">
      <alignment horizontal="right" vertical="center"/>
    </xf>
    <xf numFmtId="14" fontId="1" fillId="0" borderId="68" xfId="0" applyNumberFormat="1" applyFont="1" applyFill="1" applyBorder="1" applyAlignment="1" applyProtection="1">
      <alignment horizontal="center" vertical="center"/>
      <protection locked="0"/>
    </xf>
    <xf numFmtId="0" fontId="0" fillId="0" borderId="66" xfId="0" applyBorder="1" applyAlignment="1">
      <alignment horizontal="center" vertical="center"/>
    </xf>
    <xf numFmtId="0" fontId="0" fillId="0" borderId="0" xfId="0" applyFont="1" applyAlignment="1">
      <alignment horizontal="right"/>
    </xf>
    <xf numFmtId="0" fontId="10" fillId="0" borderId="24" xfId="0" applyFont="1" applyBorder="1" applyAlignment="1">
      <alignment horizontal="center" vertical="center" wrapText="1"/>
    </xf>
    <xf numFmtId="0" fontId="0" fillId="37" borderId="26" xfId="0" applyFill="1" applyBorder="1" applyAlignment="1" applyProtection="1">
      <alignment vertical="center"/>
      <protection/>
    </xf>
    <xf numFmtId="0" fontId="0" fillId="37" borderId="0" xfId="0" applyFill="1" applyBorder="1" applyAlignment="1" applyProtection="1">
      <alignment vertical="center"/>
      <protection/>
    </xf>
    <xf numFmtId="0" fontId="1" fillId="37" borderId="66" xfId="0" applyFont="1" applyFill="1" applyBorder="1" applyAlignment="1" applyProtection="1">
      <alignment horizontal="center" vertical="center"/>
      <protection/>
    </xf>
    <xf numFmtId="0" fontId="13" fillId="37" borderId="69" xfId="0" applyFont="1" applyFill="1" applyBorder="1" applyAlignment="1" applyProtection="1">
      <alignment vertical="center"/>
      <protection/>
    </xf>
    <xf numFmtId="0" fontId="0" fillId="37" borderId="70" xfId="0" applyFill="1" applyBorder="1" applyAlignment="1">
      <alignment horizontal="center"/>
    </xf>
    <xf numFmtId="0" fontId="0" fillId="37" borderId="71" xfId="0" applyFill="1" applyBorder="1" applyAlignment="1">
      <alignment/>
    </xf>
    <xf numFmtId="0" fontId="0" fillId="37" borderId="72" xfId="0" applyFill="1" applyBorder="1" applyAlignment="1">
      <alignment/>
    </xf>
    <xf numFmtId="0" fontId="0" fillId="37" borderId="73" xfId="0" applyFill="1" applyBorder="1" applyAlignment="1">
      <alignment/>
    </xf>
    <xf numFmtId="0" fontId="0" fillId="37" borderId="0" xfId="0" applyFill="1" applyBorder="1" applyAlignment="1">
      <alignment/>
    </xf>
    <xf numFmtId="0" fontId="0" fillId="37" borderId="74" xfId="0" applyFill="1" applyBorder="1" applyAlignment="1">
      <alignment/>
    </xf>
    <xf numFmtId="0" fontId="0" fillId="37" borderId="73" xfId="0" applyFill="1" applyBorder="1" applyAlignment="1" applyProtection="1">
      <alignment vertical="center"/>
      <protection/>
    </xf>
    <xf numFmtId="0" fontId="1" fillId="37" borderId="75" xfId="0" applyFont="1" applyFill="1" applyBorder="1" applyAlignment="1" applyProtection="1">
      <alignment horizontal="center" vertical="center"/>
      <protection/>
    </xf>
    <xf numFmtId="0" fontId="1" fillId="37" borderId="76" xfId="0" applyFont="1" applyFill="1" applyBorder="1" applyAlignment="1" applyProtection="1">
      <alignment vertical="center" wrapText="1"/>
      <protection/>
    </xf>
    <xf numFmtId="0" fontId="1" fillId="37" borderId="77" xfId="0" applyFont="1" applyFill="1" applyBorder="1" applyAlignment="1" applyProtection="1">
      <alignment horizontal="center" vertical="center"/>
      <protection/>
    </xf>
    <xf numFmtId="0" fontId="0" fillId="37" borderId="73" xfId="0" applyFont="1" applyFill="1" applyBorder="1" applyAlignment="1" applyProtection="1">
      <alignment vertical="center"/>
      <protection/>
    </xf>
    <xf numFmtId="0" fontId="0" fillId="37" borderId="74" xfId="0" applyFill="1" applyBorder="1" applyAlignment="1" applyProtection="1">
      <alignment vertical="center"/>
      <protection/>
    </xf>
    <xf numFmtId="0" fontId="0" fillId="37" borderId="78" xfId="0" applyFont="1" applyFill="1" applyBorder="1" applyAlignment="1">
      <alignment/>
    </xf>
    <xf numFmtId="14" fontId="0" fillId="37" borderId="79" xfId="0" applyNumberFormat="1" applyFill="1" applyBorder="1" applyAlignment="1">
      <alignment/>
    </xf>
    <xf numFmtId="0" fontId="0" fillId="37" borderId="80" xfId="0" applyFont="1" applyFill="1" applyBorder="1" applyAlignment="1">
      <alignment/>
    </xf>
    <xf numFmtId="14" fontId="1" fillId="37" borderId="81" xfId="0" applyNumberFormat="1" applyFont="1" applyFill="1" applyBorder="1" applyAlignment="1" applyProtection="1">
      <alignment horizontal="center" vertical="center"/>
      <protection locked="0"/>
    </xf>
    <xf numFmtId="0" fontId="0" fillId="0" borderId="76" xfId="0" applyFill="1" applyBorder="1" applyAlignment="1" applyProtection="1">
      <alignment vertical="center"/>
      <protection/>
    </xf>
    <xf numFmtId="1" fontId="0" fillId="0" borderId="66" xfId="0" applyNumberFormat="1" applyFont="1" applyFill="1" applyBorder="1" applyAlignment="1" applyProtection="1">
      <alignment horizontal="center" vertical="center"/>
      <protection/>
    </xf>
    <xf numFmtId="1" fontId="0" fillId="0" borderId="77" xfId="0" applyNumberFormat="1" applyFont="1" applyFill="1" applyBorder="1" applyAlignment="1">
      <alignment horizontal="center"/>
    </xf>
    <xf numFmtId="0" fontId="0" fillId="33" borderId="0" xfId="0" applyFont="1" applyFill="1" applyBorder="1" applyAlignment="1" applyProtection="1">
      <alignment horizontal="left" vertical="center"/>
      <protection/>
    </xf>
    <xf numFmtId="0" fontId="3" fillId="0" borderId="0" xfId="0" applyFont="1" applyAlignment="1">
      <alignment/>
    </xf>
    <xf numFmtId="0" fontId="18" fillId="33" borderId="0" xfId="45" applyFill="1" applyAlignment="1" applyProtection="1">
      <alignment horizontal="left" vertical="center"/>
      <protection/>
    </xf>
    <xf numFmtId="0" fontId="9" fillId="0" borderId="0" xfId="0" applyFont="1" applyAlignment="1">
      <alignment horizontal="center" vertical="center" wrapText="1"/>
    </xf>
    <xf numFmtId="0" fontId="9" fillId="0" borderId="66" xfId="0" applyFont="1" applyBorder="1" applyAlignment="1">
      <alignment/>
    </xf>
    <xf numFmtId="0" fontId="9" fillId="0" borderId="0" xfId="0" applyFont="1" applyAlignment="1">
      <alignment/>
    </xf>
    <xf numFmtId="0" fontId="9" fillId="0" borderId="82" xfId="0" applyFont="1" applyBorder="1" applyAlignment="1">
      <alignment/>
    </xf>
    <xf numFmtId="0" fontId="9" fillId="0" borderId="66" xfId="0" applyFont="1" applyBorder="1" applyAlignment="1">
      <alignment horizontal="center"/>
    </xf>
    <xf numFmtId="181" fontId="9" fillId="0" borderId="83" xfId="0" applyNumberFormat="1" applyFont="1" applyBorder="1" applyAlignment="1">
      <alignment/>
    </xf>
    <xf numFmtId="0" fontId="9" fillId="0" borderId="0" xfId="0" applyFont="1" applyBorder="1" applyAlignment="1">
      <alignment/>
    </xf>
    <xf numFmtId="0" fontId="9" fillId="0" borderId="0" xfId="0" applyFont="1" applyBorder="1" applyAlignment="1">
      <alignment horizontal="center"/>
    </xf>
    <xf numFmtId="0" fontId="9" fillId="38" borderId="73" xfId="0" applyFont="1" applyFill="1" applyBorder="1" applyAlignment="1">
      <alignment/>
    </xf>
    <xf numFmtId="0" fontId="9" fillId="38" borderId="0" xfId="0" applyFont="1" applyFill="1" applyBorder="1" applyAlignment="1">
      <alignment/>
    </xf>
    <xf numFmtId="0" fontId="9" fillId="38" borderId="74" xfId="0" applyFont="1" applyFill="1" applyBorder="1" applyAlignment="1">
      <alignment/>
    </xf>
    <xf numFmtId="0" fontId="9" fillId="38" borderId="84" xfId="0" applyFont="1" applyFill="1" applyBorder="1" applyAlignment="1">
      <alignment/>
    </xf>
    <xf numFmtId="0" fontId="9" fillId="38" borderId="85" xfId="0" applyFont="1" applyFill="1" applyBorder="1" applyAlignment="1">
      <alignment/>
    </xf>
    <xf numFmtId="0" fontId="9" fillId="38" borderId="86" xfId="0" applyFont="1" applyFill="1" applyBorder="1" applyAlignment="1">
      <alignment/>
    </xf>
    <xf numFmtId="0" fontId="9" fillId="38" borderId="76" xfId="0" applyFont="1" applyFill="1" applyBorder="1" applyAlignment="1">
      <alignment/>
    </xf>
    <xf numFmtId="0" fontId="9" fillId="38" borderId="66" xfId="0" applyFont="1" applyFill="1" applyBorder="1" applyAlignment="1">
      <alignment/>
    </xf>
    <xf numFmtId="181" fontId="9" fillId="38" borderId="66" xfId="0" applyNumberFormat="1" applyFont="1" applyFill="1" applyBorder="1" applyAlignment="1">
      <alignment/>
    </xf>
    <xf numFmtId="0" fontId="9" fillId="38" borderId="77" xfId="0" applyFont="1" applyFill="1" applyBorder="1" applyAlignment="1">
      <alignment/>
    </xf>
    <xf numFmtId="0" fontId="9" fillId="38" borderId="87" xfId="0" applyFont="1" applyFill="1" applyBorder="1" applyAlignment="1">
      <alignment/>
    </xf>
    <xf numFmtId="0" fontId="9" fillId="38" borderId="88" xfId="0" applyFont="1" applyFill="1" applyBorder="1" applyAlignment="1">
      <alignment/>
    </xf>
    <xf numFmtId="181" fontId="9" fillId="38" borderId="88" xfId="0" applyNumberFormat="1" applyFont="1" applyFill="1" applyBorder="1" applyAlignment="1">
      <alignment/>
    </xf>
    <xf numFmtId="0" fontId="9" fillId="38" borderId="89" xfId="0" applyFont="1" applyFill="1" applyBorder="1" applyAlignment="1">
      <alignment/>
    </xf>
    <xf numFmtId="0" fontId="9" fillId="39" borderId="73" xfId="0" applyFont="1" applyFill="1" applyBorder="1" applyAlignment="1">
      <alignment/>
    </xf>
    <xf numFmtId="0" fontId="9" fillId="39" borderId="0" xfId="0" applyFont="1" applyFill="1" applyBorder="1" applyAlignment="1">
      <alignment/>
    </xf>
    <xf numFmtId="0" fontId="9" fillId="39" borderId="74" xfId="0" applyFont="1" applyFill="1" applyBorder="1" applyAlignment="1">
      <alignment/>
    </xf>
    <xf numFmtId="0" fontId="9" fillId="39" borderId="90" xfId="0" applyFont="1" applyFill="1" applyBorder="1" applyAlignment="1">
      <alignment/>
    </xf>
    <xf numFmtId="0" fontId="9" fillId="39" borderId="65" xfId="0" applyFont="1" applyFill="1" applyBorder="1" applyAlignment="1">
      <alignment/>
    </xf>
    <xf numFmtId="0" fontId="9" fillId="39" borderId="91" xfId="0" applyFont="1" applyFill="1" applyBorder="1" applyAlignment="1">
      <alignment/>
    </xf>
    <xf numFmtId="0" fontId="9" fillId="39" borderId="76" xfId="0" applyFont="1" applyFill="1" applyBorder="1" applyAlignment="1">
      <alignment/>
    </xf>
    <xf numFmtId="0" fontId="9" fillId="39" borderId="66" xfId="0" applyFont="1" applyFill="1" applyBorder="1" applyAlignment="1">
      <alignment/>
    </xf>
    <xf numFmtId="181" fontId="9" fillId="39" borderId="66" xfId="0" applyNumberFormat="1" applyFont="1" applyFill="1" applyBorder="1" applyAlignment="1">
      <alignment/>
    </xf>
    <xf numFmtId="0" fontId="9" fillId="39" borderId="77" xfId="0" applyFont="1" applyFill="1" applyBorder="1" applyAlignment="1">
      <alignment/>
    </xf>
    <xf numFmtId="0" fontId="9" fillId="39" borderId="87" xfId="0" applyFont="1" applyFill="1" applyBorder="1" applyAlignment="1">
      <alignment/>
    </xf>
    <xf numFmtId="0" fontId="9" fillId="39" borderId="88" xfId="0" applyFont="1" applyFill="1" applyBorder="1" applyAlignment="1">
      <alignment/>
    </xf>
    <xf numFmtId="181" fontId="9" fillId="39" borderId="88" xfId="0" applyNumberFormat="1" applyFont="1" applyFill="1" applyBorder="1" applyAlignment="1">
      <alignment/>
    </xf>
    <xf numFmtId="0" fontId="9" fillId="39" borderId="89" xfId="0" applyFont="1" applyFill="1" applyBorder="1" applyAlignment="1">
      <alignment/>
    </xf>
    <xf numFmtId="0" fontId="9" fillId="39" borderId="84" xfId="0" applyFont="1" applyFill="1" applyBorder="1" applyAlignment="1">
      <alignment/>
    </xf>
    <xf numFmtId="0" fontId="9" fillId="39" borderId="85" xfId="0" applyFont="1" applyFill="1" applyBorder="1" applyAlignment="1">
      <alignment/>
    </xf>
    <xf numFmtId="0" fontId="21" fillId="0" borderId="0" xfId="0" applyFont="1" applyAlignment="1">
      <alignment horizontal="center" vertical="center" wrapText="1"/>
    </xf>
    <xf numFmtId="0" fontId="10"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 fillId="0" borderId="10" xfId="0" applyFont="1" applyBorder="1" applyAlignment="1" applyProtection="1">
      <alignment vertical="center"/>
      <protection hidden="1" locked="0"/>
    </xf>
    <xf numFmtId="0" fontId="0" fillId="0" borderId="0" xfId="0" applyAlignment="1" applyProtection="1">
      <alignment/>
      <protection hidden="1"/>
    </xf>
    <xf numFmtId="0" fontId="0" fillId="0" borderId="10" xfId="0" applyFont="1" applyBorder="1" applyAlignment="1" applyProtection="1">
      <alignment horizontal="left" vertical="center"/>
      <protection hidden="1" locked="0"/>
    </xf>
    <xf numFmtId="0" fontId="0" fillId="0" borderId="10" xfId="0" applyFill="1" applyBorder="1" applyAlignment="1" applyProtection="1">
      <alignment horizontal="center"/>
      <protection hidden="1" locked="0"/>
    </xf>
    <xf numFmtId="0" fontId="0" fillId="0" borderId="0" xfId="0" applyAlignment="1" applyProtection="1">
      <alignment/>
      <protection hidden="1" locked="0"/>
    </xf>
    <xf numFmtId="0" fontId="0" fillId="0" borderId="49" xfId="0" applyBorder="1" applyAlignment="1" applyProtection="1">
      <alignment/>
      <protection hidden="1" locked="0"/>
    </xf>
    <xf numFmtId="0" fontId="0" fillId="0" borderId="0" xfId="0" applyBorder="1" applyAlignment="1" applyProtection="1">
      <alignment/>
      <protection hidden="1" locked="0"/>
    </xf>
    <xf numFmtId="0" fontId="0" fillId="0" borderId="50" xfId="0" applyBorder="1" applyAlignment="1" applyProtection="1">
      <alignment/>
      <protection hidden="1" locked="0"/>
    </xf>
    <xf numFmtId="0" fontId="15" fillId="0" borderId="0" xfId="0" applyFont="1" applyBorder="1" applyAlignment="1" applyProtection="1">
      <alignment horizontal="left" vertical="center"/>
      <protection hidden="1"/>
    </xf>
    <xf numFmtId="0" fontId="19" fillId="0" borderId="0"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 fillId="0" borderId="30" xfId="0" applyFont="1" applyFill="1" applyBorder="1" applyAlignment="1" applyProtection="1">
      <alignment vertical="center"/>
      <protection hidden="1" locked="0"/>
    </xf>
    <xf numFmtId="0" fontId="1" fillId="34" borderId="10" xfId="0" applyFont="1" applyFill="1" applyBorder="1" applyAlignment="1" applyProtection="1">
      <alignment horizontal="center" vertical="center"/>
      <protection hidden="1" locked="0"/>
    </xf>
    <xf numFmtId="14" fontId="15" fillId="0" borderId="0" xfId="0" applyNumberFormat="1" applyFont="1" applyBorder="1" applyAlignment="1" applyProtection="1">
      <alignment horizontal="left" vertical="center"/>
      <protection hidden="1"/>
    </xf>
    <xf numFmtId="177" fontId="15" fillId="0" borderId="0" xfId="0" applyNumberFormat="1" applyFont="1" applyBorder="1" applyAlignment="1" applyProtection="1">
      <alignment vertical="center"/>
      <protection hidden="1"/>
    </xf>
    <xf numFmtId="14" fontId="1" fillId="34" borderId="10" xfId="0" applyNumberFormat="1" applyFont="1" applyFill="1" applyBorder="1" applyAlignment="1" applyProtection="1">
      <alignment horizontal="center" vertical="center"/>
      <protection hidden="1" locked="0"/>
    </xf>
    <xf numFmtId="0" fontId="0" fillId="0" borderId="0" xfId="0" applyAlignment="1" applyProtection="1">
      <alignment horizontal="center"/>
      <protection hidden="1"/>
    </xf>
    <xf numFmtId="0" fontId="0" fillId="0" borderId="0" xfId="0" applyAlignment="1" applyProtection="1">
      <alignment horizontal="right" vertical="center"/>
      <protection hidden="1"/>
    </xf>
    <xf numFmtId="0" fontId="0" fillId="0" borderId="49" xfId="0" applyBorder="1" applyAlignment="1" applyProtection="1">
      <alignment vertical="center"/>
      <protection hidden="1" locked="0"/>
    </xf>
    <xf numFmtId="0" fontId="1" fillId="0" borderId="10" xfId="0" applyFont="1" applyFill="1" applyBorder="1" applyAlignment="1" applyProtection="1">
      <alignment horizontal="center" vertical="center"/>
      <protection hidden="1" locked="0"/>
    </xf>
    <xf numFmtId="0" fontId="1" fillId="0" borderId="32" xfId="0" applyFont="1" applyFill="1" applyBorder="1" applyAlignment="1" applyProtection="1">
      <alignment horizontal="center" vertical="center"/>
      <protection hidden="1" locked="0"/>
    </xf>
    <xf numFmtId="0" fontId="1" fillId="0" borderId="34" xfId="0" applyFont="1" applyFill="1" applyBorder="1" applyAlignment="1" applyProtection="1">
      <alignment vertical="center"/>
      <protection hidden="1" locked="0"/>
    </xf>
    <xf numFmtId="0" fontId="1" fillId="34" borderId="35" xfId="0" applyFont="1" applyFill="1" applyBorder="1" applyAlignment="1" applyProtection="1">
      <alignment horizontal="center" vertical="center"/>
      <protection hidden="1" locked="0"/>
    </xf>
    <xf numFmtId="0" fontId="1" fillId="34" borderId="37" xfId="0" applyFont="1" applyFill="1" applyBorder="1" applyAlignment="1" applyProtection="1">
      <alignment horizontal="center" vertical="center"/>
      <protection hidden="1" locked="0"/>
    </xf>
    <xf numFmtId="0" fontId="1" fillId="0" borderId="0" xfId="0" applyFont="1" applyFill="1" applyBorder="1" applyAlignment="1" applyProtection="1">
      <alignment vertical="center"/>
      <protection hidden="1"/>
    </xf>
    <xf numFmtId="0" fontId="1" fillId="0" borderId="55" xfId="0" applyFont="1" applyFill="1" applyBorder="1" applyAlignment="1" applyProtection="1">
      <alignment horizontal="center" vertical="center"/>
      <protection hidden="1"/>
    </xf>
    <xf numFmtId="0" fontId="9" fillId="0" borderId="0" xfId="0" applyFont="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5" fillId="0" borderId="21" xfId="0" applyFont="1" applyBorder="1" applyAlignment="1" applyProtection="1">
      <alignment horizontal="center"/>
      <protection hidden="1"/>
    </xf>
    <xf numFmtId="0" fontId="15" fillId="0" borderId="22" xfId="0" applyFont="1" applyBorder="1" applyAlignment="1" applyProtection="1">
      <alignment horizontal="center"/>
      <protection hidden="1"/>
    </xf>
    <xf numFmtId="0" fontId="15" fillId="0" borderId="23" xfId="0" applyFont="1" applyBorder="1" applyAlignment="1" applyProtection="1">
      <alignment horizontal="center"/>
      <protection hidden="1"/>
    </xf>
    <xf numFmtId="0" fontId="15" fillId="0" borderId="0" xfId="0" applyFont="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Alignment="1" applyProtection="1">
      <alignment horizontal="left"/>
      <protection hidden="1"/>
    </xf>
    <xf numFmtId="0" fontId="15" fillId="0" borderId="43" xfId="0" applyFont="1" applyBorder="1" applyAlignment="1" applyProtection="1">
      <alignment/>
      <protection hidden="1"/>
    </xf>
    <xf numFmtId="0" fontId="15" fillId="0" borderId="41" xfId="0" applyFont="1" applyBorder="1" applyAlignment="1" applyProtection="1">
      <alignment/>
      <protection hidden="1"/>
    </xf>
    <xf numFmtId="0" fontId="15" fillId="0" borderId="42" xfId="0" applyFont="1" applyBorder="1" applyAlignment="1" applyProtection="1">
      <alignment/>
      <protection hidden="1"/>
    </xf>
    <xf numFmtId="0" fontId="15" fillId="0" borderId="0" xfId="0" applyFont="1" applyAlignment="1" applyProtection="1">
      <alignment/>
      <protection hidden="1"/>
    </xf>
    <xf numFmtId="0" fontId="15" fillId="0" borderId="0" xfId="0" applyFont="1" applyBorder="1" applyAlignment="1" applyProtection="1">
      <alignment/>
      <protection hidden="1"/>
    </xf>
    <xf numFmtId="0" fontId="15" fillId="0" borderId="30" xfId="0" applyFont="1" applyBorder="1" applyAlignment="1" applyProtection="1">
      <alignment/>
      <protection hidden="1"/>
    </xf>
    <xf numFmtId="0" fontId="15" fillId="0" borderId="10" xfId="0" applyFont="1" applyBorder="1" applyAlignment="1" applyProtection="1">
      <alignment/>
      <protection hidden="1"/>
    </xf>
    <xf numFmtId="0" fontId="15" fillId="0" borderId="32" xfId="0" applyFont="1" applyBorder="1" applyAlignment="1" applyProtection="1">
      <alignment/>
      <protection hidden="1"/>
    </xf>
    <xf numFmtId="0" fontId="15" fillId="0" borderId="0" xfId="0" applyFont="1" applyFill="1" applyAlignment="1" applyProtection="1">
      <alignment/>
      <protection hidden="1"/>
    </xf>
    <xf numFmtId="0" fontId="0" fillId="0" borderId="49"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protection hidden="1"/>
    </xf>
    <xf numFmtId="0" fontId="9" fillId="0" borderId="92" xfId="0" applyFont="1" applyBorder="1" applyAlignment="1" applyProtection="1">
      <alignment horizontal="center"/>
      <protection hidden="1"/>
    </xf>
    <xf numFmtId="0" fontId="9" fillId="0" borderId="93" xfId="0" applyFont="1" applyBorder="1" applyAlignment="1" applyProtection="1">
      <alignment horizontal="center"/>
      <protection hidden="1"/>
    </xf>
    <xf numFmtId="0" fontId="9" fillId="0" borderId="94" xfId="0" applyFont="1" applyBorder="1" applyAlignment="1" applyProtection="1">
      <alignment horizontal="center"/>
      <protection hidden="1"/>
    </xf>
    <xf numFmtId="0" fontId="9" fillId="0" borderId="92" xfId="0" applyFont="1" applyFill="1" applyBorder="1" applyAlignment="1" applyProtection="1">
      <alignment horizontal="center"/>
      <protection hidden="1"/>
    </xf>
    <xf numFmtId="0" fontId="9" fillId="0" borderId="95" xfId="0" applyFont="1" applyFill="1" applyBorder="1" applyAlignment="1" applyProtection="1">
      <alignment horizontal="center"/>
      <protection hidden="1"/>
    </xf>
    <xf numFmtId="0" fontId="9" fillId="0" borderId="96" xfId="0" applyFont="1" applyFill="1" applyBorder="1" applyAlignment="1" applyProtection="1">
      <alignment horizontal="center"/>
      <protection hidden="1"/>
    </xf>
    <xf numFmtId="0" fontId="9" fillId="0" borderId="94" xfId="0" applyFont="1" applyFill="1" applyBorder="1" applyAlignment="1" applyProtection="1">
      <alignment horizontal="center"/>
      <protection hidden="1"/>
    </xf>
    <xf numFmtId="0" fontId="9" fillId="0" borderId="97" xfId="0" applyFont="1" applyFill="1" applyBorder="1" applyAlignment="1" applyProtection="1">
      <alignment horizontal="center"/>
      <protection hidden="1"/>
    </xf>
    <xf numFmtId="0" fontId="9" fillId="0" borderId="98" xfId="0" applyFont="1" applyFill="1" applyBorder="1" applyAlignment="1" applyProtection="1">
      <alignment horizontal="center"/>
      <protection hidden="1"/>
    </xf>
    <xf numFmtId="0" fontId="9" fillId="0" borderId="99" xfId="0" applyFont="1" applyFill="1" applyBorder="1" applyAlignment="1" applyProtection="1">
      <alignment horizontal="center"/>
      <protection hidden="1"/>
    </xf>
    <xf numFmtId="0" fontId="2" fillId="0" borderId="85" xfId="0" applyFont="1" applyBorder="1" applyAlignment="1" applyProtection="1">
      <alignment horizontal="center"/>
      <protection hidden="1"/>
    </xf>
    <xf numFmtId="0" fontId="2" fillId="0" borderId="86" xfId="0" applyFont="1" applyBorder="1" applyAlignment="1" applyProtection="1">
      <alignment horizontal="center"/>
      <protection hidden="1"/>
    </xf>
    <xf numFmtId="0" fontId="2" fillId="0" borderId="0" xfId="0" applyFont="1" applyAlignment="1" applyProtection="1">
      <alignment wrapText="1"/>
      <protection hidden="1"/>
    </xf>
    <xf numFmtId="0" fontId="9" fillId="0" borderId="73" xfId="0" applyFont="1" applyBorder="1" applyAlignment="1" applyProtection="1">
      <alignment/>
      <protection hidden="1"/>
    </xf>
    <xf numFmtId="173" fontId="9" fillId="40" borderId="26" xfId="0" applyNumberFormat="1" applyFont="1" applyFill="1" applyBorder="1" applyAlignment="1" applyProtection="1">
      <alignment/>
      <protection hidden="1"/>
    </xf>
    <xf numFmtId="173" fontId="9" fillId="0" borderId="26" xfId="0" applyNumberFormat="1" applyFont="1" applyBorder="1" applyAlignment="1" applyProtection="1">
      <alignment/>
      <protection hidden="1"/>
    </xf>
    <xf numFmtId="173" fontId="9" fillId="0" borderId="100" xfId="0" applyNumberFormat="1" applyFont="1" applyBorder="1" applyAlignment="1" applyProtection="1">
      <alignment/>
      <protection hidden="1"/>
    </xf>
    <xf numFmtId="174" fontId="0" fillId="0" borderId="27" xfId="0" applyNumberFormat="1" applyBorder="1" applyAlignment="1" applyProtection="1">
      <alignment/>
      <protection hidden="1"/>
    </xf>
    <xf numFmtId="173" fontId="0" fillId="0" borderId="28" xfId="0" applyNumberFormat="1" applyBorder="1" applyAlignment="1" applyProtection="1">
      <alignment/>
      <protection hidden="1"/>
    </xf>
    <xf numFmtId="174" fontId="0" fillId="0" borderId="25" xfId="0" applyNumberFormat="1" applyBorder="1" applyAlignment="1" applyProtection="1">
      <alignment/>
      <protection hidden="1"/>
    </xf>
    <xf numFmtId="3" fontId="0" fillId="0" borderId="85" xfId="0" applyNumberFormat="1" applyFont="1" applyFill="1" applyBorder="1" applyAlignment="1" applyProtection="1">
      <alignment horizontal="right" wrapText="1"/>
      <protection hidden="1"/>
    </xf>
    <xf numFmtId="3" fontId="0" fillId="0" borderId="85" xfId="0" applyNumberFormat="1" applyBorder="1" applyAlignment="1" applyProtection="1">
      <alignment/>
      <protection hidden="1"/>
    </xf>
    <xf numFmtId="175" fontId="0" fillId="0" borderId="57" xfId="0" applyNumberFormat="1" applyBorder="1" applyAlignment="1" applyProtection="1">
      <alignment/>
      <protection hidden="1"/>
    </xf>
    <xf numFmtId="10" fontId="0" fillId="41" borderId="66" xfId="0" applyNumberFormat="1" applyFill="1" applyBorder="1" applyAlignment="1" applyProtection="1">
      <alignment/>
      <protection hidden="1" locked="0"/>
    </xf>
    <xf numFmtId="10" fontId="0" fillId="41" borderId="77" xfId="0" applyNumberFormat="1" applyFill="1" applyBorder="1" applyAlignment="1" applyProtection="1">
      <alignment/>
      <protection hidden="1" locked="0"/>
    </xf>
    <xf numFmtId="173" fontId="9" fillId="0" borderId="10" xfId="0" applyNumberFormat="1" applyFont="1" applyBorder="1" applyAlignment="1" applyProtection="1">
      <alignment/>
      <protection hidden="1"/>
    </xf>
    <xf numFmtId="173" fontId="9" fillId="0" borderId="101" xfId="0" applyNumberFormat="1" applyFont="1" applyBorder="1" applyAlignment="1" applyProtection="1">
      <alignment/>
      <protection hidden="1"/>
    </xf>
    <xf numFmtId="174" fontId="0" fillId="0" borderId="31" xfId="0" applyNumberFormat="1" applyBorder="1" applyAlignment="1" applyProtection="1">
      <alignment/>
      <protection hidden="1"/>
    </xf>
    <xf numFmtId="173" fontId="0" fillId="0" borderId="32" xfId="0" applyNumberFormat="1" applyBorder="1" applyAlignment="1" applyProtection="1">
      <alignment/>
      <protection hidden="1"/>
    </xf>
    <xf numFmtId="3" fontId="0" fillId="0" borderId="66" xfId="0" applyNumberFormat="1" applyBorder="1" applyAlignment="1" applyProtection="1">
      <alignment/>
      <protection hidden="1"/>
    </xf>
    <xf numFmtId="174" fontId="0" fillId="0" borderId="30" xfId="0" applyNumberFormat="1" applyBorder="1" applyAlignment="1" applyProtection="1">
      <alignment/>
      <protection hidden="1"/>
    </xf>
    <xf numFmtId="175" fontId="0" fillId="0" borderId="46" xfId="0" applyNumberFormat="1" applyBorder="1" applyAlignment="1" applyProtection="1">
      <alignment/>
      <protection hidden="1"/>
    </xf>
    <xf numFmtId="3" fontId="0" fillId="0" borderId="66" xfId="0" applyNumberFormat="1" applyBorder="1" applyAlignment="1" applyProtection="1">
      <alignment horizontal="right"/>
      <protection hidden="1"/>
    </xf>
    <xf numFmtId="10" fontId="2" fillId="0" borderId="88" xfId="0" applyNumberFormat="1" applyFont="1" applyBorder="1" applyAlignment="1" applyProtection="1">
      <alignment/>
      <protection hidden="1"/>
    </xf>
    <xf numFmtId="10" fontId="2" fillId="0" borderId="89" xfId="0" applyNumberFormat="1" applyFont="1" applyBorder="1" applyAlignment="1" applyProtection="1">
      <alignment/>
      <protection hidden="1"/>
    </xf>
    <xf numFmtId="175" fontId="0" fillId="0" borderId="32" xfId="0" applyNumberFormat="1" applyBorder="1" applyAlignment="1" applyProtection="1">
      <alignment/>
      <protection hidden="1"/>
    </xf>
    <xf numFmtId="0" fontId="9" fillId="0" borderId="78" xfId="0" applyFont="1" applyBorder="1" applyAlignment="1" applyProtection="1">
      <alignment/>
      <protection hidden="1"/>
    </xf>
    <xf numFmtId="173" fontId="9" fillId="0" borderId="79" xfId="0" applyNumberFormat="1" applyFont="1" applyBorder="1" applyAlignment="1" applyProtection="1">
      <alignment/>
      <protection hidden="1"/>
    </xf>
    <xf numFmtId="173" fontId="9" fillId="0" borderId="102" xfId="0" applyNumberFormat="1" applyFont="1" applyBorder="1" applyAlignment="1" applyProtection="1">
      <alignment/>
      <protection hidden="1"/>
    </xf>
    <xf numFmtId="0" fontId="0" fillId="0" borderId="0" xfId="0" applyAlignment="1" applyProtection="1">
      <alignment horizontal="left" vertical="center" wrapText="1"/>
      <protection hidden="1"/>
    </xf>
    <xf numFmtId="0" fontId="0" fillId="0" borderId="0" xfId="0" applyAlignment="1" applyProtection="1">
      <alignment wrapText="1"/>
      <protection hidden="1"/>
    </xf>
    <xf numFmtId="0" fontId="22" fillId="0" borderId="0" xfId="0" applyFont="1" applyAlignment="1">
      <alignment/>
    </xf>
    <xf numFmtId="0" fontId="22" fillId="0" borderId="0" xfId="0" applyFont="1" applyAlignment="1">
      <alignment wrapText="1"/>
    </xf>
    <xf numFmtId="0" fontId="23" fillId="0" borderId="0" xfId="0" applyFont="1" applyAlignment="1">
      <alignment wrapText="1"/>
    </xf>
    <xf numFmtId="0" fontId="0" fillId="0" borderId="0" xfId="0" applyAlignment="1">
      <alignment horizontal="left" vertical="center" wrapText="1" indent="1"/>
    </xf>
    <xf numFmtId="0" fontId="24" fillId="0" borderId="0" xfId="0" applyFont="1" applyAlignment="1">
      <alignment horizontal="left" vertical="center" wrapText="1" indent="1"/>
    </xf>
    <xf numFmtId="0" fontId="25" fillId="0" borderId="0" xfId="0" applyFont="1" applyAlignment="1">
      <alignment wrapText="1"/>
    </xf>
    <xf numFmtId="0" fontId="22" fillId="0" borderId="0" xfId="0" applyFont="1" applyAlignment="1">
      <alignment horizontal="left" vertical="center" wrapText="1" indent="1"/>
    </xf>
    <xf numFmtId="0" fontId="23" fillId="0" borderId="0" xfId="0" applyFont="1" applyAlignment="1">
      <alignment horizontal="left" vertical="center" wrapText="1" indent="1"/>
    </xf>
    <xf numFmtId="0" fontId="0" fillId="0" borderId="76" xfId="0" applyBorder="1" applyAlignment="1" applyProtection="1">
      <alignment horizontal="left" vertical="center" wrapText="1"/>
      <protection hidden="1"/>
    </xf>
    <xf numFmtId="0" fontId="0" fillId="0" borderId="66" xfId="0" applyBorder="1" applyAlignment="1" applyProtection="1">
      <alignment horizontal="left" vertical="center" wrapText="1"/>
      <protection hidden="1"/>
    </xf>
    <xf numFmtId="0" fontId="2" fillId="0" borderId="87" xfId="0" applyFont="1" applyBorder="1" applyAlignment="1" applyProtection="1">
      <alignment horizontal="left" vertical="center" wrapText="1"/>
      <protection hidden="1"/>
    </xf>
    <xf numFmtId="0" fontId="2" fillId="0" borderId="88" xfId="0" applyFont="1" applyBorder="1" applyAlignment="1" applyProtection="1">
      <alignment horizontal="left" vertical="center" wrapText="1"/>
      <protection hidden="1"/>
    </xf>
    <xf numFmtId="0" fontId="14" fillId="0" borderId="103" xfId="0" applyFont="1" applyBorder="1" applyAlignment="1" applyProtection="1">
      <alignment horizontal="center" vertical="center" wrapText="1"/>
      <protection hidden="1"/>
    </xf>
    <xf numFmtId="0" fontId="14" fillId="0" borderId="104" xfId="0" applyFont="1" applyBorder="1" applyAlignment="1" applyProtection="1">
      <alignment horizontal="center" vertical="center" wrapText="1"/>
      <protection hidden="1"/>
    </xf>
    <xf numFmtId="0" fontId="14" fillId="0" borderId="105" xfId="0" applyFont="1" applyBorder="1" applyAlignment="1" applyProtection="1">
      <alignment horizontal="center" vertical="center" wrapText="1"/>
      <protection hidden="1"/>
    </xf>
    <xf numFmtId="0" fontId="2" fillId="0" borderId="84" xfId="0" applyFont="1" applyBorder="1" applyAlignment="1" applyProtection="1">
      <alignment horizontal="center" vertical="center" wrapText="1"/>
      <protection hidden="1"/>
    </xf>
    <xf numFmtId="0" fontId="2" fillId="0" borderId="85"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wrapText="1"/>
      <protection hidden="1"/>
    </xf>
    <xf numFmtId="0" fontId="0" fillId="34" borderId="106" xfId="0" applyFont="1" applyFill="1" applyBorder="1" applyAlignment="1" applyProtection="1">
      <alignment horizontal="left" vertical="center" wrapText="1"/>
      <protection hidden="1" locked="0"/>
    </xf>
    <xf numFmtId="0" fontId="0" fillId="0" borderId="24" xfId="0" applyFont="1" applyBorder="1" applyAlignment="1" applyProtection="1">
      <alignment horizontal="center" vertical="center" wrapText="1"/>
      <protection hidden="1" locked="0"/>
    </xf>
    <xf numFmtId="0" fontId="10"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7" xfId="0" applyBorder="1" applyAlignment="1" applyProtection="1">
      <alignment horizontal="center" vertical="center" wrapText="1"/>
      <protection hidden="1"/>
    </xf>
    <xf numFmtId="0" fontId="0" fillId="0" borderId="71" xfId="0" applyBorder="1" applyAlignment="1">
      <alignment horizontal="center" vertical="center" wrapText="1"/>
    </xf>
    <xf numFmtId="0" fontId="0" fillId="0" borderId="49" xfId="0" applyBorder="1" applyAlignment="1">
      <alignment horizontal="center" vertical="center" wrapText="1"/>
    </xf>
    <xf numFmtId="0" fontId="0" fillId="0" borderId="0" xfId="0" applyAlignment="1">
      <alignment horizontal="center" vertical="center" wrapText="1"/>
    </xf>
    <xf numFmtId="0" fontId="2" fillId="0" borderId="0" xfId="0" applyFont="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10" fillId="0" borderId="50" xfId="0" applyFont="1"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14" fillId="0" borderId="51" xfId="0" applyFont="1" applyBorder="1" applyAlignment="1" applyProtection="1">
      <alignment horizontal="center" vertical="center" wrapText="1"/>
      <protection hidden="1"/>
    </xf>
    <xf numFmtId="0" fontId="14" fillId="0" borderId="52" xfId="0" applyFont="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10" fillId="0" borderId="108" xfId="0" applyFont="1" applyFill="1" applyBorder="1" applyAlignment="1" applyProtection="1">
      <alignment horizontal="center" vertical="center" wrapText="1"/>
      <protection hidden="1"/>
    </xf>
    <xf numFmtId="0" fontId="10" fillId="0" borderId="72" xfId="0" applyFont="1" applyFill="1"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10" fillId="0" borderId="52" xfId="0" applyFont="1" applyFill="1" applyBorder="1" applyAlignment="1" applyProtection="1">
      <alignment horizontal="center" vertical="center" wrapText="1"/>
      <protection hidden="1"/>
    </xf>
    <xf numFmtId="0" fontId="10" fillId="0" borderId="53" xfId="0" applyFont="1" applyFill="1" applyBorder="1" applyAlignment="1" applyProtection="1">
      <alignment horizontal="center" vertical="center" wrapText="1"/>
      <protection hidden="1"/>
    </xf>
    <xf numFmtId="0" fontId="10" fillId="0" borderId="90" xfId="0" applyFont="1" applyBorder="1" applyAlignment="1" applyProtection="1">
      <alignment horizontal="center" vertical="center" wrapText="1"/>
      <protection hidden="1"/>
    </xf>
    <xf numFmtId="0" fontId="10" fillId="0" borderId="91" xfId="0" applyFont="1" applyBorder="1" applyAlignment="1" applyProtection="1">
      <alignment horizontal="center" vertical="center" wrapText="1"/>
      <protection hidden="1"/>
    </xf>
    <xf numFmtId="0" fontId="10" fillId="0" borderId="87" xfId="0" applyFont="1" applyBorder="1" applyAlignment="1" applyProtection="1">
      <alignment horizontal="center" vertical="center" wrapText="1"/>
      <protection hidden="1"/>
    </xf>
    <xf numFmtId="0" fontId="10" fillId="0" borderId="109" xfId="0" applyFont="1" applyBorder="1" applyAlignment="1" applyProtection="1">
      <alignment horizontal="center" vertical="center" wrapText="1"/>
      <protection hidden="1"/>
    </xf>
    <xf numFmtId="0" fontId="10" fillId="0" borderId="108" xfId="0" applyFont="1" applyBorder="1" applyAlignment="1" applyProtection="1">
      <alignment horizontal="center" vertical="center" wrapText="1"/>
      <protection hidden="1"/>
    </xf>
    <xf numFmtId="0" fontId="10" fillId="0" borderId="71" xfId="0" applyFont="1" applyBorder="1" applyAlignment="1" applyProtection="1">
      <alignment horizontal="center" vertical="center" wrapText="1"/>
      <protection hidden="1"/>
    </xf>
    <xf numFmtId="0" fontId="10" fillId="0" borderId="72" xfId="0" applyFont="1" applyBorder="1" applyAlignment="1" applyProtection="1">
      <alignment horizontal="center" vertical="center" wrapText="1"/>
      <protection hidden="1"/>
    </xf>
    <xf numFmtId="0" fontId="10" fillId="0" borderId="78" xfId="0" applyFont="1" applyBorder="1" applyAlignment="1" applyProtection="1">
      <alignment horizontal="center" vertical="center" wrapText="1"/>
      <protection hidden="1"/>
    </xf>
    <xf numFmtId="0" fontId="10" fillId="0" borderId="80" xfId="0" applyFont="1" applyBorder="1" applyAlignment="1" applyProtection="1">
      <alignment horizontal="center" vertical="center" wrapText="1"/>
      <protection hidden="1"/>
    </xf>
    <xf numFmtId="0" fontId="10" fillId="0" borderId="81" xfId="0" applyFont="1" applyBorder="1" applyAlignment="1" applyProtection="1">
      <alignment horizontal="center" vertical="center" wrapText="1"/>
      <protection hidden="1"/>
    </xf>
    <xf numFmtId="0" fontId="14" fillId="0" borderId="110" xfId="0" applyFont="1" applyBorder="1" applyAlignment="1" applyProtection="1">
      <alignment horizontal="center" vertical="center" wrapText="1"/>
      <protection hidden="1"/>
    </xf>
    <xf numFmtId="0" fontId="14" fillId="0" borderId="111" xfId="0" applyFont="1" applyBorder="1" applyAlignment="1" applyProtection="1">
      <alignment horizontal="center" vertical="center" wrapText="1"/>
      <protection hidden="1"/>
    </xf>
    <xf numFmtId="0" fontId="14" fillId="0" borderId="112" xfId="0" applyFont="1" applyBorder="1" applyAlignment="1" applyProtection="1">
      <alignment horizontal="center" vertical="center" wrapText="1"/>
      <protection hidden="1"/>
    </xf>
    <xf numFmtId="0" fontId="0" fillId="33" borderId="0" xfId="0" applyFont="1" applyFill="1" applyBorder="1" applyAlignment="1" applyProtection="1">
      <alignment horizontal="left" vertical="center"/>
      <protection/>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10" fillId="0" borderId="24" xfId="0" applyFont="1" applyBorder="1" applyAlignment="1">
      <alignment horizontal="center" vertical="center" wrapText="1"/>
    </xf>
    <xf numFmtId="0" fontId="6" fillId="0" borderId="24" xfId="0" applyFont="1" applyBorder="1" applyAlignment="1">
      <alignment horizontal="center" vertical="center" wrapText="1"/>
    </xf>
    <xf numFmtId="14" fontId="8" fillId="0" borderId="21" xfId="0" applyNumberFormat="1" applyFont="1" applyBorder="1" applyAlignment="1">
      <alignment horizontal="center" vertical="center" wrapText="1"/>
    </xf>
    <xf numFmtId="14" fontId="8" fillId="0" borderId="24" xfId="0" applyNumberFormat="1" applyFont="1" applyBorder="1" applyAlignment="1">
      <alignment horizontal="center" vertical="center" wrapText="1"/>
    </xf>
    <xf numFmtId="14" fontId="8"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38" borderId="113" xfId="0" applyFont="1" applyFill="1" applyBorder="1" applyAlignment="1">
      <alignment horizontal="center" vertical="center" wrapText="1"/>
    </xf>
    <xf numFmtId="0" fontId="10" fillId="38" borderId="114" xfId="0" applyFont="1" applyFill="1" applyBorder="1" applyAlignment="1">
      <alignment horizontal="center" vertical="center" wrapText="1"/>
    </xf>
    <xf numFmtId="0" fontId="10" fillId="38" borderId="115" xfId="0" applyFont="1" applyFill="1" applyBorder="1" applyAlignment="1">
      <alignment horizontal="center" vertical="center" wrapText="1"/>
    </xf>
    <xf numFmtId="0" fontId="14" fillId="0" borderId="0" xfId="0" applyFont="1" applyBorder="1" applyAlignment="1" applyProtection="1">
      <alignment horizontal="center" vertical="center" wrapText="1"/>
      <protection/>
    </xf>
    <xf numFmtId="0" fontId="21" fillId="0" borderId="0" xfId="0" applyFont="1" applyAlignment="1">
      <alignment horizontal="center" vertical="center" wrapText="1"/>
    </xf>
    <xf numFmtId="0" fontId="9" fillId="39" borderId="116" xfId="0" applyFont="1" applyFill="1" applyBorder="1" applyAlignment="1">
      <alignment horizontal="center" vertical="center" wrapText="1"/>
    </xf>
    <xf numFmtId="0" fontId="9" fillId="39" borderId="117" xfId="0" applyFont="1" applyFill="1" applyBorder="1" applyAlignment="1">
      <alignment horizontal="center" vertical="center" wrapText="1"/>
    </xf>
    <xf numFmtId="0" fontId="9" fillId="39" borderId="118" xfId="0" applyFont="1" applyFill="1" applyBorder="1" applyAlignment="1">
      <alignment horizontal="center" vertical="center" wrapText="1"/>
    </xf>
    <xf numFmtId="0" fontId="9" fillId="39" borderId="113" xfId="0" applyFont="1" applyFill="1" applyBorder="1" applyAlignment="1">
      <alignment horizontal="center" vertical="center" wrapText="1"/>
    </xf>
    <xf numFmtId="0" fontId="9" fillId="39" borderId="114" xfId="0" applyFont="1" applyFill="1" applyBorder="1" applyAlignment="1">
      <alignment horizontal="center" vertical="center" wrapText="1"/>
    </xf>
    <xf numFmtId="0" fontId="9" fillId="39" borderId="115" xfId="0" applyFont="1" applyFill="1" applyBorder="1" applyAlignment="1">
      <alignment horizontal="center" vertical="center" wrapText="1"/>
    </xf>
    <xf numFmtId="0" fontId="9" fillId="38" borderId="116" xfId="0" applyFont="1" applyFill="1" applyBorder="1" applyAlignment="1">
      <alignment horizontal="center" vertical="center" wrapText="1"/>
    </xf>
    <xf numFmtId="0" fontId="9" fillId="0" borderId="117" xfId="0" applyFont="1" applyBorder="1" applyAlignment="1">
      <alignment horizontal="center" vertical="center" wrapText="1"/>
    </xf>
    <xf numFmtId="0" fontId="9" fillId="0" borderId="118" xfId="0" applyFont="1" applyBorder="1" applyAlignment="1">
      <alignment horizontal="center" vertical="center" wrapText="1"/>
    </xf>
    <xf numFmtId="0" fontId="14" fillId="0" borderId="50" xfId="0" applyFont="1" applyBorder="1" applyAlignment="1" applyProtection="1">
      <alignment horizontal="center" vertical="center" wrapText="1"/>
      <protection/>
    </xf>
    <xf numFmtId="0" fontId="21" fillId="0" borderId="50" xfId="0" applyFont="1" applyBorder="1" applyAlignment="1">
      <alignment horizontal="center" vertical="center" wrapText="1"/>
    </xf>
    <xf numFmtId="0" fontId="9" fillId="38" borderId="113" xfId="0" applyFont="1" applyFill="1" applyBorder="1" applyAlignment="1">
      <alignment horizontal="center" vertical="center" wrapText="1"/>
    </xf>
    <xf numFmtId="0" fontId="9" fillId="38" borderId="114" xfId="0" applyFont="1" applyFill="1" applyBorder="1" applyAlignment="1">
      <alignment horizontal="center" vertical="center" wrapText="1"/>
    </xf>
    <xf numFmtId="0" fontId="9" fillId="38" borderId="115" xfId="0" applyFont="1" applyFill="1" applyBorder="1" applyAlignment="1">
      <alignment horizontal="center" vertical="center" wrapText="1"/>
    </xf>
    <xf numFmtId="0" fontId="10" fillId="39" borderId="103" xfId="0" applyFont="1" applyFill="1" applyBorder="1" applyAlignment="1">
      <alignment horizontal="center" vertical="center" wrapText="1"/>
    </xf>
    <xf numFmtId="0" fontId="9" fillId="39" borderId="104" xfId="0" applyFont="1" applyFill="1" applyBorder="1" applyAlignment="1">
      <alignment horizontal="center" vertical="center" wrapText="1"/>
    </xf>
    <xf numFmtId="0" fontId="9" fillId="39" borderId="105" xfId="0" applyFont="1" applyFill="1" applyBorder="1" applyAlignment="1">
      <alignment horizontal="center" vertical="center" wrapText="1"/>
    </xf>
    <xf numFmtId="0" fontId="9" fillId="38" borderId="103" xfId="0" applyFont="1" applyFill="1" applyBorder="1" applyAlignment="1">
      <alignment horizontal="center" vertical="center" wrapText="1"/>
    </xf>
    <xf numFmtId="0" fontId="9" fillId="38" borderId="104" xfId="0" applyFont="1" applyFill="1" applyBorder="1" applyAlignment="1">
      <alignment horizontal="center" vertical="center" wrapText="1"/>
    </xf>
    <xf numFmtId="0" fontId="9" fillId="38" borderId="105" xfId="0" applyFont="1" applyFill="1" applyBorder="1" applyAlignment="1">
      <alignment horizontal="center" vertical="center" wrapText="1"/>
    </xf>
    <xf numFmtId="0" fontId="0" fillId="0" borderId="24" xfId="0" applyFont="1" applyBorder="1" applyAlignment="1">
      <alignment horizontal="center" vertical="center" wrapText="1"/>
    </xf>
    <xf numFmtId="0" fontId="10" fillId="0" borderId="110"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6" xfId="0" applyFont="1" applyBorder="1" applyAlignment="1">
      <alignment horizontal="center" vertical="center" wrapText="1"/>
    </xf>
    <xf numFmtId="0" fontId="11" fillId="0" borderId="24" xfId="0" applyFont="1" applyBorder="1" applyAlignment="1">
      <alignment horizontal="center" vertical="center"/>
    </xf>
    <xf numFmtId="0" fontId="0" fillId="0" borderId="10" xfId="0" applyFont="1" applyBorder="1" applyAlignment="1">
      <alignment horizontal="center" vertical="center" wrapText="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dxfs count="10">
    <dxf>
      <font>
        <color auto="1"/>
      </font>
      <fill>
        <patternFill patternType="solid">
          <fgColor indexed="60"/>
          <bgColor indexed="29"/>
        </patternFill>
      </fill>
    </dxf>
    <dxf>
      <font>
        <b/>
        <i val="0"/>
      </font>
    </dxf>
    <dxf>
      <fill>
        <patternFill patternType="solid">
          <fgColor indexed="60"/>
          <bgColor indexed="10"/>
        </patternFill>
      </fill>
    </dxf>
    <dxf>
      <fill>
        <patternFill>
          <bgColor indexed="10"/>
        </patternFill>
      </fill>
    </dxf>
    <dxf>
      <fill>
        <patternFill patternType="solid">
          <fgColor indexed="49"/>
          <bgColor indexed="11"/>
        </patternFill>
      </fill>
    </dxf>
    <dxf>
      <fill>
        <patternFill patternType="solid">
          <fgColor indexed="51"/>
          <bgColor indexed="52"/>
        </patternFill>
      </fill>
    </dxf>
    <dxf>
      <fill>
        <patternFill patternType="solid">
          <fgColor indexed="60"/>
          <bgColor indexed="10"/>
        </patternFill>
      </fill>
    </dxf>
    <dxf>
      <fill>
        <patternFill patternType="solid">
          <fgColor indexed="49"/>
          <bgColor indexed="11"/>
        </patternFill>
      </fill>
    </dxf>
    <dxf>
      <fill>
        <patternFill patternType="solid">
          <fgColor indexed="51"/>
          <bgColor indexed="52"/>
        </patternFill>
      </fill>
    </dxf>
    <dxf>
      <fill>
        <patternFill patternType="solid">
          <fgColor indexed="60"/>
          <bgColor indexed="1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I75"/>
  <sheetViews>
    <sheetView tabSelected="1" workbookViewId="0" topLeftCell="A1">
      <selection activeCell="A1" sqref="A1"/>
    </sheetView>
  </sheetViews>
  <sheetFormatPr defaultColWidth="15.7109375" defaultRowHeight="12.75"/>
  <cols>
    <col min="1" max="1" width="39.7109375" style="311" bestFit="1" customWidth="1"/>
    <col min="2" max="14" width="9.421875" style="311" customWidth="1"/>
    <col min="15" max="16" width="10.7109375" style="311" customWidth="1"/>
    <col min="17" max="23" width="9.421875" style="311" customWidth="1"/>
    <col min="24" max="25" width="15.7109375" style="311" customWidth="1"/>
    <col min="26" max="28" width="9.421875" style="311" customWidth="1"/>
    <col min="29" max="30" width="7.421875" style="311" customWidth="1"/>
    <col min="31" max="16384" width="15.7109375" style="311" customWidth="1"/>
  </cols>
  <sheetData>
    <row r="1" spans="1:5" ht="12">
      <c r="A1" s="310"/>
      <c r="B1" s="415" t="s">
        <v>2</v>
      </c>
      <c r="C1" s="415"/>
      <c r="D1" s="415"/>
      <c r="E1" s="415"/>
    </row>
    <row r="2" spans="1:28" ht="12">
      <c r="A2" s="310" t="s">
        <v>4</v>
      </c>
      <c r="B2" s="415" t="s">
        <v>2</v>
      </c>
      <c r="C2" s="415"/>
      <c r="D2" s="415"/>
      <c r="E2" s="415"/>
      <c r="F2" s="417" t="s">
        <v>182</v>
      </c>
      <c r="G2" s="417"/>
      <c r="H2" s="417"/>
      <c r="I2" s="417"/>
      <c r="J2" s="417"/>
      <c r="K2" s="417"/>
      <c r="L2" s="417"/>
      <c r="M2" s="417"/>
      <c r="N2" s="417"/>
      <c r="O2" s="417"/>
      <c r="P2" s="417"/>
      <c r="Q2" s="417"/>
      <c r="R2" s="417"/>
      <c r="S2" s="417"/>
      <c r="T2" s="417"/>
      <c r="U2" s="417"/>
      <c r="V2" s="417"/>
      <c r="W2" s="417"/>
      <c r="X2" s="417"/>
      <c r="Y2" s="417"/>
      <c r="Z2" s="417" t="s">
        <v>166</v>
      </c>
      <c r="AA2" s="418"/>
      <c r="AB2" s="418"/>
    </row>
    <row r="3" spans="1:31" ht="12.75" thickBot="1">
      <c r="A3" s="312" t="s">
        <v>18</v>
      </c>
      <c r="B3" s="313">
        <v>6</v>
      </c>
      <c r="C3" s="314"/>
      <c r="D3" s="314"/>
      <c r="E3" s="314"/>
      <c r="F3" s="418"/>
      <c r="G3" s="418"/>
      <c r="H3" s="418"/>
      <c r="I3" s="418"/>
      <c r="J3" s="418"/>
      <c r="K3" s="418"/>
      <c r="L3" s="418"/>
      <c r="M3" s="418"/>
      <c r="N3" s="418"/>
      <c r="O3" s="418"/>
      <c r="P3" s="418"/>
      <c r="Q3" s="418"/>
      <c r="R3" s="418"/>
      <c r="S3" s="418"/>
      <c r="T3" s="418"/>
      <c r="U3" s="418"/>
      <c r="V3" s="418"/>
      <c r="W3" s="418"/>
      <c r="X3" s="418"/>
      <c r="Y3" s="418"/>
      <c r="Z3" s="418"/>
      <c r="AA3" s="418"/>
      <c r="AB3" s="418"/>
      <c r="AC3" s="309"/>
      <c r="AD3" s="309"/>
      <c r="AE3" s="309"/>
    </row>
    <row r="4" spans="1:31" ht="12.75" thickBot="1">
      <c r="A4" s="416" t="s">
        <v>75</v>
      </c>
      <c r="B4" s="416"/>
      <c r="C4" s="416"/>
      <c r="D4" s="416"/>
      <c r="E4" s="314"/>
      <c r="F4" s="418"/>
      <c r="G4" s="418"/>
      <c r="H4" s="418"/>
      <c r="I4" s="418"/>
      <c r="J4" s="418"/>
      <c r="K4" s="418"/>
      <c r="L4" s="418"/>
      <c r="M4" s="418"/>
      <c r="N4" s="418"/>
      <c r="O4" s="418"/>
      <c r="P4" s="418"/>
      <c r="Q4" s="418"/>
      <c r="R4" s="418"/>
      <c r="S4" s="418"/>
      <c r="T4" s="418"/>
      <c r="U4" s="418"/>
      <c r="V4" s="418"/>
      <c r="W4" s="418"/>
      <c r="X4" s="418"/>
      <c r="Y4" s="418"/>
      <c r="Z4" s="418"/>
      <c r="AA4" s="418"/>
      <c r="AB4" s="418"/>
      <c r="AC4" s="309"/>
      <c r="AD4" s="309"/>
      <c r="AE4" s="309"/>
    </row>
    <row r="5" spans="1:31" ht="12.75">
      <c r="A5" s="315"/>
      <c r="B5" s="316"/>
      <c r="C5" s="316"/>
      <c r="D5" s="317"/>
      <c r="E5" s="314"/>
      <c r="F5" s="418"/>
      <c r="G5" s="418"/>
      <c r="H5" s="418"/>
      <c r="I5" s="418"/>
      <c r="J5" s="418"/>
      <c r="K5" s="418"/>
      <c r="L5" s="418"/>
      <c r="M5" s="418"/>
      <c r="N5" s="418"/>
      <c r="O5" s="418"/>
      <c r="P5" s="418"/>
      <c r="Q5" s="418"/>
      <c r="R5" s="418"/>
      <c r="S5" s="418"/>
      <c r="T5" s="418"/>
      <c r="U5" s="418"/>
      <c r="V5" s="418"/>
      <c r="W5" s="418"/>
      <c r="X5" s="418"/>
      <c r="Y5" s="418"/>
      <c r="Z5" s="318" t="s">
        <v>85</v>
      </c>
      <c r="AA5" s="319"/>
      <c r="AB5" s="320"/>
      <c r="AC5" s="309"/>
      <c r="AD5" s="309"/>
      <c r="AE5" s="309"/>
    </row>
    <row r="6" spans="1:31" ht="12.75">
      <c r="A6" s="321" t="str">
        <f>"ÉCHELON détenu en tant que cat. C Échelle "&amp;B3</f>
        <v>ÉCHELON détenu en tant que cat. C Échelle 6</v>
      </c>
      <c r="B6" s="322">
        <v>7</v>
      </c>
      <c r="C6" s="316"/>
      <c r="D6" s="317"/>
      <c r="E6" s="314"/>
      <c r="F6" s="418"/>
      <c r="G6" s="418"/>
      <c r="H6" s="418"/>
      <c r="I6" s="418"/>
      <c r="J6" s="418"/>
      <c r="K6" s="418"/>
      <c r="L6" s="418"/>
      <c r="M6" s="418"/>
      <c r="N6" s="418"/>
      <c r="O6" s="418"/>
      <c r="P6" s="418"/>
      <c r="Q6" s="418"/>
      <c r="R6" s="418"/>
      <c r="S6" s="418"/>
      <c r="T6" s="418"/>
      <c r="U6" s="418"/>
      <c r="V6" s="418"/>
      <c r="W6" s="418"/>
      <c r="X6" s="418"/>
      <c r="Y6" s="418"/>
      <c r="Z6" s="323">
        <v>42552</v>
      </c>
      <c r="AB6" s="324">
        <f>AB7/1.006</f>
        <v>55.56353726547277</v>
      </c>
      <c r="AE6" s="309"/>
    </row>
    <row r="7" spans="1:32" ht="12.75">
      <c r="A7" s="321" t="s">
        <v>20</v>
      </c>
      <c r="B7" s="325">
        <v>41671</v>
      </c>
      <c r="C7" s="316"/>
      <c r="D7" s="317"/>
      <c r="E7" s="314"/>
      <c r="F7" s="418"/>
      <c r="G7" s="418"/>
      <c r="H7" s="418"/>
      <c r="I7" s="418"/>
      <c r="J7" s="418"/>
      <c r="K7" s="418"/>
      <c r="L7" s="418"/>
      <c r="M7" s="418"/>
      <c r="N7" s="418"/>
      <c r="O7" s="418"/>
      <c r="P7" s="418"/>
      <c r="Q7" s="418"/>
      <c r="R7" s="418"/>
      <c r="S7" s="418"/>
      <c r="T7" s="418"/>
      <c r="U7" s="418"/>
      <c r="V7" s="418"/>
      <c r="W7" s="418"/>
      <c r="X7" s="418"/>
      <c r="Y7" s="418"/>
      <c r="Z7" s="323">
        <v>42767</v>
      </c>
      <c r="AB7" s="324">
        <f>AB8/1.006</f>
        <v>55.896918489065605</v>
      </c>
      <c r="AC7" s="309"/>
      <c r="AD7" s="309"/>
      <c r="AE7" s="326"/>
      <c r="AF7" s="309"/>
    </row>
    <row r="8" spans="1:32" ht="12.75">
      <c r="A8" s="315"/>
      <c r="B8" s="316"/>
      <c r="C8" s="316"/>
      <c r="D8" s="317"/>
      <c r="E8" s="314"/>
      <c r="F8" s="418"/>
      <c r="G8" s="418"/>
      <c r="H8" s="418"/>
      <c r="I8" s="418"/>
      <c r="J8" s="418"/>
      <c r="K8" s="418"/>
      <c r="L8" s="418"/>
      <c r="M8" s="418"/>
      <c r="N8" s="418"/>
      <c r="O8" s="418"/>
      <c r="P8" s="418"/>
      <c r="Q8" s="418"/>
      <c r="R8" s="418"/>
      <c r="S8" s="418"/>
      <c r="T8" s="418"/>
      <c r="U8" s="418"/>
      <c r="V8" s="418"/>
      <c r="W8" s="418"/>
      <c r="X8" s="418"/>
      <c r="Y8" s="418"/>
      <c r="Z8" s="323" t="s">
        <v>151</v>
      </c>
      <c r="AB8" s="324">
        <v>56.2323</v>
      </c>
      <c r="AC8" s="309"/>
      <c r="AD8" s="327"/>
      <c r="AF8" s="309"/>
    </row>
    <row r="9" spans="1:31" ht="12.75">
      <c r="A9" s="328"/>
      <c r="B9" s="329" t="s">
        <v>21</v>
      </c>
      <c r="C9" s="329" t="s">
        <v>22</v>
      </c>
      <c r="D9" s="330" t="s">
        <v>23</v>
      </c>
      <c r="E9" s="314"/>
      <c r="F9" s="418"/>
      <c r="G9" s="418"/>
      <c r="H9" s="418"/>
      <c r="I9" s="418"/>
      <c r="J9" s="418"/>
      <c r="K9" s="418"/>
      <c r="L9" s="418"/>
      <c r="M9" s="418"/>
      <c r="N9" s="418"/>
      <c r="O9" s="418"/>
      <c r="P9" s="418"/>
      <c r="Q9" s="418"/>
      <c r="R9" s="418"/>
      <c r="S9" s="418"/>
      <c r="T9" s="418"/>
      <c r="U9" s="418"/>
      <c r="V9" s="418"/>
      <c r="W9" s="418"/>
      <c r="X9" s="418"/>
      <c r="Y9" s="418"/>
      <c r="Z9" s="323"/>
      <c r="AA9" s="318"/>
      <c r="AB9" s="320"/>
      <c r="AC9" s="309"/>
      <c r="AD9" s="309"/>
      <c r="AE9" s="309"/>
    </row>
    <row r="10" spans="1:31" ht="13.5" thickBot="1">
      <c r="A10" s="331" t="str">
        <f>"Reliquat d’ancienneté détenu au "&amp;DAY(B7)&amp;"/"&amp;MONTH(B7)&amp;"/"&amp;YEAR(B7)</f>
        <v>Reliquat d’ancienneté détenu au 1/2/2014</v>
      </c>
      <c r="B10" s="332">
        <v>0</v>
      </c>
      <c r="C10" s="332">
        <v>0</v>
      </c>
      <c r="D10" s="333">
        <v>0</v>
      </c>
      <c r="E10" s="314"/>
      <c r="F10" s="418"/>
      <c r="G10" s="418"/>
      <c r="H10" s="418"/>
      <c r="I10" s="418"/>
      <c r="J10" s="418"/>
      <c r="K10" s="418"/>
      <c r="L10" s="418"/>
      <c r="M10" s="418"/>
      <c r="N10" s="418"/>
      <c r="O10" s="418"/>
      <c r="P10" s="418"/>
      <c r="Q10" s="418"/>
      <c r="R10" s="418"/>
      <c r="S10" s="418"/>
      <c r="T10" s="418"/>
      <c r="U10" s="418"/>
      <c r="V10" s="418"/>
      <c r="W10" s="418"/>
      <c r="X10" s="418"/>
      <c r="Y10" s="418"/>
      <c r="Z10" s="323"/>
      <c r="AA10" s="318"/>
      <c r="AB10" s="320"/>
      <c r="AC10" s="309"/>
      <c r="AD10" s="309"/>
      <c r="AE10" s="309"/>
    </row>
    <row r="11" spans="1:31" ht="15.75" thickBot="1">
      <c r="A11" s="334"/>
      <c r="B11" s="335"/>
      <c r="C11" s="335"/>
      <c r="D11" s="335"/>
      <c r="F11" s="336"/>
      <c r="G11" s="336"/>
      <c r="H11" s="336"/>
      <c r="I11" s="336"/>
      <c r="J11" s="336"/>
      <c r="K11" s="336"/>
      <c r="L11" s="336"/>
      <c r="M11" s="336"/>
      <c r="N11" s="336"/>
      <c r="O11" s="336"/>
      <c r="P11" s="336"/>
      <c r="Q11" s="336"/>
      <c r="R11" s="336"/>
      <c r="S11" s="336"/>
      <c r="T11" s="336"/>
      <c r="U11" s="336"/>
      <c r="V11" s="336"/>
      <c r="W11" s="336"/>
      <c r="X11" s="336"/>
      <c r="AA11" s="318"/>
      <c r="AB11" s="309"/>
      <c r="AC11" s="309"/>
      <c r="AD11" s="309"/>
      <c r="AE11" s="309"/>
    </row>
    <row r="12" spans="1:29" ht="18" customHeight="1" thickBot="1">
      <c r="A12" s="425" t="s">
        <v>133</v>
      </c>
      <c r="B12" s="447" t="s">
        <v>176</v>
      </c>
      <c r="C12" s="448"/>
      <c r="D12" s="448"/>
      <c r="E12" s="448"/>
      <c r="F12" s="448"/>
      <c r="G12" s="448"/>
      <c r="H12" s="448"/>
      <c r="I12" s="448"/>
      <c r="J12" s="448"/>
      <c r="K12" s="448"/>
      <c r="L12" s="448"/>
      <c r="M12" s="448"/>
      <c r="N12" s="449"/>
      <c r="P12" s="414" t="s">
        <v>177</v>
      </c>
      <c r="Q12" s="414"/>
      <c r="R12" s="414"/>
      <c r="S12" s="414"/>
      <c r="T12" s="414"/>
      <c r="U12" s="414"/>
      <c r="V12" s="414"/>
      <c r="W12" s="414"/>
      <c r="X12" s="414"/>
      <c r="Y12" s="414"/>
      <c r="Z12" s="414"/>
      <c r="AA12" s="414"/>
      <c r="AB12" s="414"/>
      <c r="AC12" s="337"/>
    </row>
    <row r="13" spans="1:34" s="341" customFormat="1" ht="13.5" thickBot="1">
      <c r="A13" s="426"/>
      <c r="B13" s="338" t="str">
        <f>'déroulé en C et en B'!B89</f>
        <v>ANNEES</v>
      </c>
      <c r="C13" s="339" t="str">
        <f>'déroulé en C et en B'!C89</f>
        <v>janvier</v>
      </c>
      <c r="D13" s="339" t="str">
        <f>'déroulé en C et en B'!D89</f>
        <v>février</v>
      </c>
      <c r="E13" s="339" t="str">
        <f>'déroulé en C et en B'!E89</f>
        <v>mars</v>
      </c>
      <c r="F13" s="339" t="str">
        <f>'déroulé en C et en B'!F89</f>
        <v>avril</v>
      </c>
      <c r="G13" s="339" t="str">
        <f>'déroulé en C et en B'!G89</f>
        <v>mai</v>
      </c>
      <c r="H13" s="339" t="str">
        <f>'déroulé en C et en B'!H89</f>
        <v>juin</v>
      </c>
      <c r="I13" s="339" t="str">
        <f>'déroulé en C et en B'!I89</f>
        <v>juillet</v>
      </c>
      <c r="J13" s="339" t="str">
        <f>'déroulé en C et en B'!J89</f>
        <v>août</v>
      </c>
      <c r="K13" s="339" t="str">
        <f>'déroulé en C et en B'!K89</f>
        <v>septembre</v>
      </c>
      <c r="L13" s="339" t="str">
        <f>'déroulé en C et en B'!L89</f>
        <v>octobre</v>
      </c>
      <c r="M13" s="339" t="str">
        <f>'déroulé en C et en B'!M89</f>
        <v>novembre</v>
      </c>
      <c r="N13" s="340" t="str">
        <f>'déroulé en C et en B'!N89</f>
        <v>décembre</v>
      </c>
      <c r="P13" s="338" t="str">
        <f>'déroulé en C et en B'!T89</f>
        <v>ANNEES</v>
      </c>
      <c r="Q13" s="339" t="str">
        <f>'déroulé en C et en B'!U89</f>
        <v>janvier</v>
      </c>
      <c r="R13" s="339" t="str">
        <f>'déroulé en C et en B'!V89</f>
        <v>février</v>
      </c>
      <c r="S13" s="339" t="str">
        <f>'déroulé en C et en B'!W89</f>
        <v>mars</v>
      </c>
      <c r="T13" s="339" t="str">
        <f>'déroulé en C et en B'!X89</f>
        <v>avril</v>
      </c>
      <c r="U13" s="339" t="str">
        <f>'déroulé en C et en B'!Y89</f>
        <v>mai</v>
      </c>
      <c r="V13" s="339" t="str">
        <f>'déroulé en C et en B'!Z89</f>
        <v>juin</v>
      </c>
      <c r="W13" s="339" t="str">
        <f>'déroulé en C et en B'!AA89</f>
        <v>juillet</v>
      </c>
      <c r="X13" s="339" t="str">
        <f>'déroulé en C et en B'!AB89</f>
        <v>août</v>
      </c>
      <c r="Y13" s="339" t="str">
        <f>'déroulé en C et en B'!AC89</f>
        <v>septembre</v>
      </c>
      <c r="Z13" s="339" t="str">
        <f>'déroulé en C et en B'!AD89</f>
        <v>octobre</v>
      </c>
      <c r="AA13" s="339" t="str">
        <f>'déroulé en C et en B'!AE89</f>
        <v>novembre</v>
      </c>
      <c r="AB13" s="340" t="str">
        <f>'déroulé en C et en B'!AF89</f>
        <v>décembre</v>
      </c>
      <c r="AC13" s="342"/>
      <c r="AE13" s="343"/>
      <c r="AH13" s="343"/>
    </row>
    <row r="14" spans="1:29" s="347" customFormat="1" ht="12.75">
      <c r="A14" s="426"/>
      <c r="B14" s="344">
        <f>'déroulé en C et en B'!B90</f>
        <v>2016</v>
      </c>
      <c r="C14" s="345">
        <f>'déroulé en C et en B'!C90</f>
        <v>422</v>
      </c>
      <c r="D14" s="345">
        <f>'déroulé en C et en B'!D90</f>
        <v>422</v>
      </c>
      <c r="E14" s="345">
        <f>'déroulé en C et en B'!E90</f>
        <v>422</v>
      </c>
      <c r="F14" s="345">
        <f>'déroulé en C et en B'!F90</f>
        <v>422</v>
      </c>
      <c r="G14" s="345">
        <f>'déroulé en C et en B'!G90</f>
        <v>422</v>
      </c>
      <c r="H14" s="345">
        <f>'déroulé en C et en B'!H90</f>
        <v>422</v>
      </c>
      <c r="I14" s="345">
        <f>'déroulé en C et en B'!I90</f>
        <v>422</v>
      </c>
      <c r="J14" s="345">
        <f>'déroulé en C et en B'!J90</f>
        <v>422</v>
      </c>
      <c r="K14" s="345">
        <f>'déroulé en C et en B'!K90</f>
        <v>422</v>
      </c>
      <c r="L14" s="345">
        <f>'déroulé en C et en B'!L90</f>
        <v>422</v>
      </c>
      <c r="M14" s="345">
        <f>'déroulé en C et en B'!M90</f>
        <v>422</v>
      </c>
      <c r="N14" s="346">
        <f>'déroulé en C et en B'!N90</f>
        <v>422</v>
      </c>
      <c r="P14" s="344">
        <f>'déroulé en C et en B'!T90</f>
        <v>2016</v>
      </c>
      <c r="Q14" s="345">
        <f>'déroulé en C et en B'!U90</f>
        <v>428</v>
      </c>
      <c r="R14" s="345">
        <f>'déroulé en C et en B'!V90</f>
        <v>428</v>
      </c>
      <c r="S14" s="345">
        <f>'déroulé en C et en B'!W90</f>
        <v>428</v>
      </c>
      <c r="T14" s="345">
        <f>'déroulé en C et en B'!X90</f>
        <v>428</v>
      </c>
      <c r="U14" s="345">
        <f>'déroulé en C et en B'!Y90</f>
        <v>428</v>
      </c>
      <c r="V14" s="345">
        <f>'déroulé en C et en B'!Z90</f>
        <v>428</v>
      </c>
      <c r="W14" s="345">
        <f>'déroulé en C et en B'!AA90</f>
        <v>428</v>
      </c>
      <c r="X14" s="345">
        <f>'déroulé en C et en B'!AB90</f>
        <v>428</v>
      </c>
      <c r="Y14" s="345">
        <f>'déroulé en C et en B'!AC90</f>
        <v>428</v>
      </c>
      <c r="Z14" s="345">
        <f>'déroulé en C et en B'!AD90</f>
        <v>428</v>
      </c>
      <c r="AA14" s="345">
        <f>'déroulé en C et en B'!AE90</f>
        <v>428</v>
      </c>
      <c r="AB14" s="346">
        <f>'déroulé en C et en B'!AF90</f>
        <v>428</v>
      </c>
      <c r="AC14" s="348"/>
    </row>
    <row r="15" spans="1:29" s="347" customFormat="1" ht="12.75">
      <c r="A15" s="426"/>
      <c r="B15" s="349">
        <f>'déroulé en C et en B'!B91</f>
        <v>2017</v>
      </c>
      <c r="C15" s="350">
        <f>'déroulé en C et en B'!C91</f>
        <v>430</v>
      </c>
      <c r="D15" s="350">
        <f>'déroulé en C et en B'!D91</f>
        <v>430</v>
      </c>
      <c r="E15" s="350">
        <f>'déroulé en C et en B'!E91</f>
        <v>430</v>
      </c>
      <c r="F15" s="350">
        <f>'déroulé en C et en B'!F91</f>
        <v>430</v>
      </c>
      <c r="G15" s="350">
        <f>'déroulé en C et en B'!G91</f>
        <v>430</v>
      </c>
      <c r="H15" s="350">
        <f>'déroulé en C et en B'!H91</f>
        <v>430</v>
      </c>
      <c r="I15" s="350">
        <f>'déroulé en C et en B'!I91</f>
        <v>430</v>
      </c>
      <c r="J15" s="350">
        <f>'déroulé en C et en B'!J91</f>
        <v>430</v>
      </c>
      <c r="K15" s="350">
        <f>'déroulé en C et en B'!K91</f>
        <v>445</v>
      </c>
      <c r="L15" s="350">
        <f>'déroulé en C et en B'!L91</f>
        <v>445</v>
      </c>
      <c r="M15" s="350">
        <f>'déroulé en C et en B'!M91</f>
        <v>445</v>
      </c>
      <c r="N15" s="351">
        <f>'déroulé en C et en B'!N91</f>
        <v>445</v>
      </c>
      <c r="P15" s="349">
        <f>'déroulé en C et en B'!T91</f>
        <v>2017</v>
      </c>
      <c r="Q15" s="350">
        <f>'déroulé en C et en B'!U91</f>
        <v>429</v>
      </c>
      <c r="R15" s="350">
        <f>'déroulé en C et en B'!V91</f>
        <v>440</v>
      </c>
      <c r="S15" s="350">
        <f>'déroulé en C et en B'!W91</f>
        <v>440</v>
      </c>
      <c r="T15" s="350">
        <f>'déroulé en C et en B'!X91</f>
        <v>440</v>
      </c>
      <c r="U15" s="350">
        <f>'déroulé en C et en B'!Y91</f>
        <v>440</v>
      </c>
      <c r="V15" s="350">
        <f>'déroulé en C et en B'!Z91</f>
        <v>440</v>
      </c>
      <c r="W15" s="350">
        <f>'déroulé en C et en B'!AA91</f>
        <v>440</v>
      </c>
      <c r="X15" s="350">
        <f>'déroulé en C et en B'!AB91</f>
        <v>440</v>
      </c>
      <c r="Y15" s="350">
        <f>'déroulé en C et en B'!AC91</f>
        <v>440</v>
      </c>
      <c r="Z15" s="350">
        <f>'déroulé en C et en B'!AD91</f>
        <v>440</v>
      </c>
      <c r="AA15" s="350">
        <f>'déroulé en C et en B'!AE91</f>
        <v>440</v>
      </c>
      <c r="AB15" s="351">
        <f>'déroulé en C et en B'!AF91</f>
        <v>440</v>
      </c>
      <c r="AC15" s="348"/>
    </row>
    <row r="16" spans="1:29" s="347" customFormat="1" ht="12.75">
      <c r="A16" s="426"/>
      <c r="B16" s="349">
        <f>'déroulé en C et en B'!B92</f>
        <v>2018</v>
      </c>
      <c r="C16" s="350">
        <f>'déroulé en C et en B'!C92</f>
        <v>450</v>
      </c>
      <c r="D16" s="350">
        <f>'déroulé en C et en B'!D92</f>
        <v>450</v>
      </c>
      <c r="E16" s="350">
        <f>'déroulé en C et en B'!E92</f>
        <v>450</v>
      </c>
      <c r="F16" s="350">
        <f>'déroulé en C et en B'!F92</f>
        <v>450</v>
      </c>
      <c r="G16" s="350">
        <f>'déroulé en C et en B'!G92</f>
        <v>450</v>
      </c>
      <c r="H16" s="350">
        <f>'déroulé en C et en B'!H92</f>
        <v>450</v>
      </c>
      <c r="I16" s="350">
        <f>'déroulé en C et en B'!I92</f>
        <v>450</v>
      </c>
      <c r="J16" s="350">
        <f>'déroulé en C et en B'!J92</f>
        <v>450</v>
      </c>
      <c r="K16" s="350">
        <f>'déroulé en C et en B'!K92</f>
        <v>450</v>
      </c>
      <c r="L16" s="350">
        <f>'déroulé en C et en B'!L92</f>
        <v>450</v>
      </c>
      <c r="M16" s="350">
        <f>'déroulé en C et en B'!M92</f>
        <v>450</v>
      </c>
      <c r="N16" s="351">
        <f>'déroulé en C et en B'!N92</f>
        <v>450</v>
      </c>
      <c r="P16" s="349">
        <f>'déroulé en C et en B'!T92</f>
        <v>2018</v>
      </c>
      <c r="Q16" s="350">
        <f>'déroulé en C et en B'!U92</f>
        <v>441</v>
      </c>
      <c r="R16" s="350">
        <f>'déroulé en C et en B'!V92</f>
        <v>441</v>
      </c>
      <c r="S16" s="350">
        <f>'déroulé en C et en B'!W92</f>
        <v>441</v>
      </c>
      <c r="T16" s="350">
        <f>'déroulé en C et en B'!X92</f>
        <v>441</v>
      </c>
      <c r="U16" s="350">
        <f>'déroulé en C et en B'!Y92</f>
        <v>441</v>
      </c>
      <c r="V16" s="350">
        <f>'déroulé en C et en B'!Z92</f>
        <v>441</v>
      </c>
      <c r="W16" s="350">
        <f>'déroulé en C et en B'!AA92</f>
        <v>441</v>
      </c>
      <c r="X16" s="350">
        <f>'déroulé en C et en B'!AB92</f>
        <v>441</v>
      </c>
      <c r="Y16" s="350">
        <f>'déroulé en C et en B'!AC92</f>
        <v>441</v>
      </c>
      <c r="Z16" s="350">
        <f>'déroulé en C et en B'!AD92</f>
        <v>441</v>
      </c>
      <c r="AA16" s="350">
        <f>'déroulé en C et en B'!AE92</f>
        <v>441</v>
      </c>
      <c r="AB16" s="351">
        <f>'déroulé en C et en B'!AF92</f>
        <v>441</v>
      </c>
      <c r="AC16" s="348"/>
    </row>
    <row r="17" spans="1:29" s="347" customFormat="1" ht="12.75">
      <c r="A17" s="426"/>
      <c r="B17" s="349">
        <f>'déroulé en C et en B'!B93</f>
        <v>2019</v>
      </c>
      <c r="C17" s="350">
        <f>'déroulé en C et en B'!C93</f>
        <v>450</v>
      </c>
      <c r="D17" s="350">
        <f>'déroulé en C et en B'!D93</f>
        <v>450</v>
      </c>
      <c r="E17" s="350">
        <f>'déroulé en C et en B'!E93</f>
        <v>450</v>
      </c>
      <c r="F17" s="350">
        <f>'déroulé en C et en B'!F93</f>
        <v>450</v>
      </c>
      <c r="G17" s="350">
        <f>'déroulé en C et en B'!G93</f>
        <v>450</v>
      </c>
      <c r="H17" s="350">
        <f>'déroulé en C et en B'!H93</f>
        <v>450</v>
      </c>
      <c r="I17" s="350">
        <f>'déroulé en C et en B'!I93</f>
        <v>450</v>
      </c>
      <c r="J17" s="350">
        <f>'déroulé en C et en B'!J93</f>
        <v>450</v>
      </c>
      <c r="K17" s="350">
        <f>'déroulé en C et en B'!K93</f>
        <v>450</v>
      </c>
      <c r="L17" s="350">
        <f>'déroulé en C et en B'!L93</f>
        <v>450</v>
      </c>
      <c r="M17" s="350">
        <f>'déroulé en C et en B'!M93</f>
        <v>450</v>
      </c>
      <c r="N17" s="351">
        <f>'déroulé en C et en B'!N93</f>
        <v>450</v>
      </c>
      <c r="P17" s="349">
        <f>'déroulé en C et en B'!T93</f>
        <v>2019</v>
      </c>
      <c r="Q17" s="350">
        <f>'déroulé en C et en B'!U93</f>
        <v>441</v>
      </c>
      <c r="R17" s="350">
        <f>'déroulé en C et en B'!V93</f>
        <v>441</v>
      </c>
      <c r="S17" s="350">
        <f>'déroulé en C et en B'!W93</f>
        <v>441</v>
      </c>
      <c r="T17" s="350">
        <f>'déroulé en C et en B'!X93</f>
        <v>441</v>
      </c>
      <c r="U17" s="350">
        <f>'déroulé en C et en B'!Y93</f>
        <v>441</v>
      </c>
      <c r="V17" s="350">
        <f>'déroulé en C et en B'!Z93</f>
        <v>441</v>
      </c>
      <c r="W17" s="350">
        <f>'déroulé en C et en B'!AA93</f>
        <v>441</v>
      </c>
      <c r="X17" s="350">
        <f>'déroulé en C et en B'!AB93</f>
        <v>441</v>
      </c>
      <c r="Y17" s="350">
        <f>'déroulé en C et en B'!AC93</f>
        <v>441</v>
      </c>
      <c r="Z17" s="350">
        <f>'déroulé en C et en B'!AD93</f>
        <v>441</v>
      </c>
      <c r="AA17" s="350">
        <f>'déroulé en C et en B'!AE93</f>
        <v>441</v>
      </c>
      <c r="AB17" s="351">
        <f>'déroulé en C et en B'!AF93</f>
        <v>441</v>
      </c>
      <c r="AC17" s="348"/>
    </row>
    <row r="18" spans="1:29" s="347" customFormat="1" ht="12.75">
      <c r="A18" s="426"/>
      <c r="B18" s="349">
        <f>'déroulé en C et en B'!B94</f>
        <v>2020</v>
      </c>
      <c r="C18" s="350">
        <f>'déroulé en C et en B'!C94</f>
        <v>450</v>
      </c>
      <c r="D18" s="350">
        <f>'déroulé en C et en B'!D94</f>
        <v>450</v>
      </c>
      <c r="E18" s="350">
        <f>'déroulé en C et en B'!E94</f>
        <v>450</v>
      </c>
      <c r="F18" s="350">
        <f>'déroulé en C et en B'!F94</f>
        <v>450</v>
      </c>
      <c r="G18" s="350">
        <f>'déroulé en C et en B'!G94</f>
        <v>450</v>
      </c>
      <c r="H18" s="350">
        <f>'déroulé en C et en B'!H94</f>
        <v>450</v>
      </c>
      <c r="I18" s="350">
        <f>'déroulé en C et en B'!I94</f>
        <v>450</v>
      </c>
      <c r="J18" s="350">
        <f>'déroulé en C et en B'!J94</f>
        <v>450</v>
      </c>
      <c r="K18" s="350">
        <f>'déroulé en C et en B'!K94</f>
        <v>473</v>
      </c>
      <c r="L18" s="350">
        <f>'déroulé en C et en B'!L94</f>
        <v>473</v>
      </c>
      <c r="M18" s="350">
        <f>'déroulé en C et en B'!M94</f>
        <v>473</v>
      </c>
      <c r="N18" s="351">
        <f>'déroulé en C et en B'!N94</f>
        <v>473</v>
      </c>
      <c r="P18" s="349">
        <f>'déroulé en C et en B'!T94</f>
        <v>2020</v>
      </c>
      <c r="Q18" s="350">
        <f>'déroulé en C et en B'!U94</f>
        <v>441</v>
      </c>
      <c r="R18" s="350">
        <f>'déroulé en C et en B'!V94</f>
        <v>441</v>
      </c>
      <c r="S18" s="350">
        <f>'déroulé en C et en B'!W94</f>
        <v>457</v>
      </c>
      <c r="T18" s="350">
        <f>'déroulé en C et en B'!X94</f>
        <v>457</v>
      </c>
      <c r="U18" s="350">
        <f>'déroulé en C et en B'!Y94</f>
        <v>457</v>
      </c>
      <c r="V18" s="350">
        <f>'déroulé en C et en B'!Z94</f>
        <v>457</v>
      </c>
      <c r="W18" s="350">
        <f>'déroulé en C et en B'!AA94</f>
        <v>457</v>
      </c>
      <c r="X18" s="350">
        <f>'déroulé en C et en B'!AB94</f>
        <v>457</v>
      </c>
      <c r="Y18" s="350">
        <f>'déroulé en C et en B'!AC94</f>
        <v>457</v>
      </c>
      <c r="Z18" s="350">
        <f>'déroulé en C et en B'!AD94</f>
        <v>457</v>
      </c>
      <c r="AA18" s="350">
        <f>'déroulé en C et en B'!AE94</f>
        <v>457</v>
      </c>
      <c r="AB18" s="351">
        <f>'déroulé en C et en B'!AF94</f>
        <v>457</v>
      </c>
      <c r="AC18" s="348"/>
    </row>
    <row r="19" spans="2:29" s="347" customFormat="1" ht="12.75">
      <c r="B19" s="349">
        <f>'déroulé en C et en B'!B95</f>
        <v>2021</v>
      </c>
      <c r="C19" s="350">
        <f>'déroulé en C et en B'!C95</f>
        <v>473</v>
      </c>
      <c r="D19" s="350">
        <f>'déroulé en C et en B'!D95</f>
        <v>473</v>
      </c>
      <c r="E19" s="350">
        <f>'déroulé en C et en B'!E95</f>
        <v>473</v>
      </c>
      <c r="F19" s="350">
        <f>'déroulé en C et en B'!F95</f>
        <v>473</v>
      </c>
      <c r="G19" s="350">
        <f>'déroulé en C et en B'!G95</f>
        <v>473</v>
      </c>
      <c r="H19" s="350">
        <f>'déroulé en C et en B'!H95</f>
        <v>473</v>
      </c>
      <c r="I19" s="350">
        <f>'déroulé en C et en B'!I95</f>
        <v>473</v>
      </c>
      <c r="J19" s="350">
        <f>'déroulé en C et en B'!J95</f>
        <v>473</v>
      </c>
      <c r="K19" s="350">
        <f>'déroulé en C et en B'!K95</f>
        <v>473</v>
      </c>
      <c r="L19" s="350">
        <f>'déroulé en C et en B'!L95</f>
        <v>473</v>
      </c>
      <c r="M19" s="350">
        <f>'déroulé en C et en B'!M95</f>
        <v>473</v>
      </c>
      <c r="N19" s="351">
        <f>'déroulé en C et en B'!N95</f>
        <v>473</v>
      </c>
      <c r="P19" s="349">
        <f>'déroulé en C et en B'!T95</f>
        <v>2021</v>
      </c>
      <c r="Q19" s="350">
        <f>'déroulé en C et en B'!U95</f>
        <v>457</v>
      </c>
      <c r="R19" s="350">
        <f>'déroulé en C et en B'!V95</f>
        <v>457</v>
      </c>
      <c r="S19" s="350">
        <f>'déroulé en C et en B'!W95</f>
        <v>457</v>
      </c>
      <c r="T19" s="350">
        <f>'déroulé en C et en B'!X95</f>
        <v>457</v>
      </c>
      <c r="U19" s="350">
        <f>'déroulé en C et en B'!Y95</f>
        <v>457</v>
      </c>
      <c r="V19" s="350">
        <f>'déroulé en C et en B'!Z95</f>
        <v>457</v>
      </c>
      <c r="W19" s="350">
        <f>'déroulé en C et en B'!AA95</f>
        <v>457</v>
      </c>
      <c r="X19" s="350">
        <f>'déroulé en C et en B'!AB95</f>
        <v>457</v>
      </c>
      <c r="Y19" s="350">
        <f>'déroulé en C et en B'!AC95</f>
        <v>457</v>
      </c>
      <c r="Z19" s="350">
        <f>'déroulé en C et en B'!AD95</f>
        <v>457</v>
      </c>
      <c r="AA19" s="350">
        <f>'déroulé en C et en B'!AE95</f>
        <v>457</v>
      </c>
      <c r="AB19" s="351">
        <f>'déroulé en C et en B'!AF95</f>
        <v>457</v>
      </c>
      <c r="AC19" s="348"/>
    </row>
    <row r="20" spans="2:29" s="347" customFormat="1" ht="12.75">
      <c r="B20" s="349">
        <f>'déroulé en C et en B'!B96</f>
        <v>2022</v>
      </c>
      <c r="C20" s="350">
        <f>'déroulé en C et en B'!C96</f>
        <v>473</v>
      </c>
      <c r="D20" s="350">
        <f>'déroulé en C et en B'!D96</f>
        <v>473</v>
      </c>
      <c r="E20" s="350">
        <f>'déroulé en C et en B'!E96</f>
        <v>473</v>
      </c>
      <c r="F20" s="350">
        <f>'déroulé en C et en B'!F96</f>
        <v>473</v>
      </c>
      <c r="G20" s="350">
        <f>'déroulé en C et en B'!G96</f>
        <v>473</v>
      </c>
      <c r="H20" s="350">
        <f>'déroulé en C et en B'!H96</f>
        <v>473</v>
      </c>
      <c r="I20" s="350">
        <f>'déroulé en C et en B'!I96</f>
        <v>473</v>
      </c>
      <c r="J20" s="350">
        <f>'déroulé en C et en B'!J96</f>
        <v>473</v>
      </c>
      <c r="K20" s="350">
        <f>'déroulé en C et en B'!K96</f>
        <v>473</v>
      </c>
      <c r="L20" s="350">
        <f>'déroulé en C et en B'!L96</f>
        <v>473</v>
      </c>
      <c r="M20" s="350">
        <f>'déroulé en C et en B'!M96</f>
        <v>473</v>
      </c>
      <c r="N20" s="351">
        <f>'déroulé en C et en B'!N96</f>
        <v>473</v>
      </c>
      <c r="P20" s="349">
        <f>'déroulé en C et en B'!T96</f>
        <v>2022</v>
      </c>
      <c r="Q20" s="350">
        <f>'déroulé en C et en B'!U96</f>
        <v>457</v>
      </c>
      <c r="R20" s="350">
        <f>'déroulé en C et en B'!V96</f>
        <v>457</v>
      </c>
      <c r="S20" s="350">
        <f>'déroulé en C et en B'!W96</f>
        <v>457</v>
      </c>
      <c r="T20" s="350">
        <f>'déroulé en C et en B'!X96</f>
        <v>457</v>
      </c>
      <c r="U20" s="350">
        <f>'déroulé en C et en B'!Y96</f>
        <v>457</v>
      </c>
      <c r="V20" s="350">
        <f>'déroulé en C et en B'!Z96</f>
        <v>457</v>
      </c>
      <c r="W20" s="350">
        <f>'déroulé en C et en B'!AA96</f>
        <v>457</v>
      </c>
      <c r="X20" s="350">
        <f>'déroulé en C et en B'!AB96</f>
        <v>457</v>
      </c>
      <c r="Y20" s="350">
        <f>'déroulé en C et en B'!AC96</f>
        <v>457</v>
      </c>
      <c r="Z20" s="350">
        <f>'déroulé en C et en B'!AD96</f>
        <v>457</v>
      </c>
      <c r="AA20" s="350">
        <f>'déroulé en C et en B'!AE96</f>
        <v>457</v>
      </c>
      <c r="AB20" s="351">
        <f>'déroulé en C et en B'!AF96</f>
        <v>457</v>
      </c>
      <c r="AC20" s="348"/>
    </row>
    <row r="21" spans="2:29" s="347" customFormat="1" ht="14.25" customHeight="1">
      <c r="B21" s="349">
        <f>'déroulé en C et en B'!B97</f>
        <v>2023</v>
      </c>
      <c r="C21" s="350">
        <f>'déroulé en C et en B'!C97</f>
        <v>473</v>
      </c>
      <c r="D21" s="350">
        <f>'déroulé en C et en B'!D97</f>
        <v>473</v>
      </c>
      <c r="E21" s="350">
        <f>'déroulé en C et en B'!E97</f>
        <v>473</v>
      </c>
      <c r="F21" s="350">
        <f>'déroulé en C et en B'!F97</f>
        <v>473</v>
      </c>
      <c r="G21" s="350">
        <f>'déroulé en C et en B'!G97</f>
        <v>473</v>
      </c>
      <c r="H21" s="350">
        <f>'déroulé en C et en B'!H97</f>
        <v>473</v>
      </c>
      <c r="I21" s="350">
        <f>'déroulé en C et en B'!I97</f>
        <v>473</v>
      </c>
      <c r="J21" s="350">
        <f>'déroulé en C et en B'!J97</f>
        <v>473</v>
      </c>
      <c r="K21" s="350">
        <f>'déroulé en C et en B'!K97</f>
        <v>473</v>
      </c>
      <c r="L21" s="350">
        <f>'déroulé en C et en B'!L97</f>
        <v>473</v>
      </c>
      <c r="M21" s="350">
        <f>'déroulé en C et en B'!M97</f>
        <v>473</v>
      </c>
      <c r="N21" s="351">
        <f>'déroulé en C et en B'!N97</f>
        <v>473</v>
      </c>
      <c r="P21" s="349">
        <f>'déroulé en C et en B'!T97</f>
        <v>2023</v>
      </c>
      <c r="Q21" s="350">
        <f>'déroulé en C et en B'!U97</f>
        <v>457</v>
      </c>
      <c r="R21" s="350">
        <f>'déroulé en C et en B'!V97</f>
        <v>457</v>
      </c>
      <c r="S21" s="350">
        <f>'déroulé en C et en B'!W97</f>
        <v>477</v>
      </c>
      <c r="T21" s="350">
        <f>'déroulé en C et en B'!X97</f>
        <v>477</v>
      </c>
      <c r="U21" s="350">
        <f>'déroulé en C et en B'!Y97</f>
        <v>477</v>
      </c>
      <c r="V21" s="350">
        <f>'déroulé en C et en B'!Z97</f>
        <v>477</v>
      </c>
      <c r="W21" s="350">
        <f>'déroulé en C et en B'!AA97</f>
        <v>477</v>
      </c>
      <c r="X21" s="350">
        <f>'déroulé en C et en B'!AB97</f>
        <v>477</v>
      </c>
      <c r="Y21" s="350">
        <f>'déroulé en C et en B'!AC97</f>
        <v>477</v>
      </c>
      <c r="Z21" s="350">
        <f>'déroulé en C et en B'!AD97</f>
        <v>477</v>
      </c>
      <c r="AA21" s="350">
        <f>'déroulé en C et en B'!AE97</f>
        <v>477</v>
      </c>
      <c r="AB21" s="351">
        <f>'déroulé en C et en B'!AF97</f>
        <v>477</v>
      </c>
      <c r="AC21" s="348"/>
    </row>
    <row r="22" spans="2:29" s="347" customFormat="1" ht="12.75">
      <c r="B22" s="349">
        <f>'déroulé en C et en B'!B98</f>
        <v>2024</v>
      </c>
      <c r="C22" s="350">
        <f>'déroulé en C et en B'!C98</f>
        <v>473</v>
      </c>
      <c r="D22" s="350">
        <f>'déroulé en C et en B'!D98</f>
        <v>473</v>
      </c>
      <c r="E22" s="350">
        <f>'déroulé en C et en B'!E98</f>
        <v>473</v>
      </c>
      <c r="F22" s="350">
        <f>'déroulé en C et en B'!F98</f>
        <v>473</v>
      </c>
      <c r="G22" s="350">
        <f>'déroulé en C et en B'!G98</f>
        <v>473</v>
      </c>
      <c r="H22" s="350">
        <f>'déroulé en C et en B'!H98</f>
        <v>473</v>
      </c>
      <c r="I22" s="350">
        <f>'déroulé en C et en B'!I98</f>
        <v>473</v>
      </c>
      <c r="J22" s="350">
        <f>'déroulé en C et en B'!J98</f>
        <v>473</v>
      </c>
      <c r="K22" s="350">
        <f>'déroulé en C et en B'!K98</f>
        <v>473</v>
      </c>
      <c r="L22" s="350">
        <f>'déroulé en C et en B'!L98</f>
        <v>473</v>
      </c>
      <c r="M22" s="350">
        <f>'déroulé en C et en B'!M98</f>
        <v>473</v>
      </c>
      <c r="N22" s="351">
        <f>'déroulé en C et en B'!N98</f>
        <v>473</v>
      </c>
      <c r="P22" s="349">
        <f>'déroulé en C et en B'!T98</f>
        <v>2024</v>
      </c>
      <c r="Q22" s="350">
        <f>'déroulé en C et en B'!U98</f>
        <v>477</v>
      </c>
      <c r="R22" s="350">
        <f>'déroulé en C et en B'!V98</f>
        <v>477</v>
      </c>
      <c r="S22" s="350">
        <f>'déroulé en C et en B'!W98</f>
        <v>477</v>
      </c>
      <c r="T22" s="350">
        <f>'déroulé en C et en B'!X98</f>
        <v>477</v>
      </c>
      <c r="U22" s="350">
        <f>'déroulé en C et en B'!Y98</f>
        <v>477</v>
      </c>
      <c r="V22" s="350">
        <f>'déroulé en C et en B'!Z98</f>
        <v>477</v>
      </c>
      <c r="W22" s="350">
        <f>'déroulé en C et en B'!AA98</f>
        <v>477</v>
      </c>
      <c r="X22" s="350">
        <f>'déroulé en C et en B'!AB98</f>
        <v>477</v>
      </c>
      <c r="Y22" s="350">
        <f>'déroulé en C et en B'!AC98</f>
        <v>477</v>
      </c>
      <c r="Z22" s="350">
        <f>'déroulé en C et en B'!AD98</f>
        <v>477</v>
      </c>
      <c r="AA22" s="350">
        <f>'déroulé en C et en B'!AE98</f>
        <v>477</v>
      </c>
      <c r="AB22" s="351">
        <f>'déroulé en C et en B'!AF98</f>
        <v>477</v>
      </c>
      <c r="AC22" s="348"/>
    </row>
    <row r="23" spans="1:33" s="347" customFormat="1" ht="12.75">
      <c r="A23" s="425" t="s">
        <v>179</v>
      </c>
      <c r="B23" s="349">
        <f>'déroulé en C et en B'!B99</f>
        <v>2025</v>
      </c>
      <c r="C23" s="350">
        <f>'déroulé en C et en B'!C99</f>
        <v>473</v>
      </c>
      <c r="D23" s="350">
        <f>'déroulé en C et en B'!D99</f>
        <v>473</v>
      </c>
      <c r="E23" s="350">
        <f>'déroulé en C et en B'!E99</f>
        <v>473</v>
      </c>
      <c r="F23" s="350">
        <f>'déroulé en C et en B'!F99</f>
        <v>473</v>
      </c>
      <c r="G23" s="350">
        <f>'déroulé en C et en B'!G99</f>
        <v>473</v>
      </c>
      <c r="H23" s="350">
        <f>'déroulé en C et en B'!H99</f>
        <v>473</v>
      </c>
      <c r="I23" s="350">
        <f>'déroulé en C et en B'!I99</f>
        <v>473</v>
      </c>
      <c r="J23" s="350">
        <f>'déroulé en C et en B'!J99</f>
        <v>473</v>
      </c>
      <c r="K23" s="350">
        <f>'déroulé en C et en B'!K99</f>
        <v>473</v>
      </c>
      <c r="L23" s="350">
        <f>'déroulé en C et en B'!L99</f>
        <v>473</v>
      </c>
      <c r="M23" s="350">
        <f>'déroulé en C et en B'!M99</f>
        <v>473</v>
      </c>
      <c r="N23" s="351">
        <f>'déroulé en C et en B'!N99</f>
        <v>473</v>
      </c>
      <c r="P23" s="349">
        <f>'déroulé en C et en B'!T99</f>
        <v>2025</v>
      </c>
      <c r="Q23" s="350">
        <f>'déroulé en C et en B'!U99</f>
        <v>477</v>
      </c>
      <c r="R23" s="350">
        <f>'déroulé en C et en B'!V99</f>
        <v>477</v>
      </c>
      <c r="S23" s="350">
        <f>'déroulé en C et en B'!W99</f>
        <v>477</v>
      </c>
      <c r="T23" s="350">
        <f>'déroulé en C et en B'!X99</f>
        <v>477</v>
      </c>
      <c r="U23" s="350">
        <f>'déroulé en C et en B'!Y99</f>
        <v>477</v>
      </c>
      <c r="V23" s="350">
        <f>'déroulé en C et en B'!Z99</f>
        <v>477</v>
      </c>
      <c r="W23" s="350">
        <f>'déroulé en C et en B'!AA99</f>
        <v>477</v>
      </c>
      <c r="X23" s="350">
        <f>'déroulé en C et en B'!AB99</f>
        <v>477</v>
      </c>
      <c r="Y23" s="350">
        <f>'déroulé en C et en B'!AC99</f>
        <v>477</v>
      </c>
      <c r="Z23" s="350">
        <f>'déroulé en C et en B'!AD99</f>
        <v>477</v>
      </c>
      <c r="AA23" s="350">
        <f>'déroulé en C et en B'!AE99</f>
        <v>477</v>
      </c>
      <c r="AB23" s="351">
        <f>'déroulé en C et en B'!AF99</f>
        <v>477</v>
      </c>
      <c r="AC23" s="348"/>
      <c r="AF23" s="352"/>
      <c r="AG23" s="352"/>
    </row>
    <row r="24" spans="1:29" s="347" customFormat="1" ht="12.75">
      <c r="A24" s="425"/>
      <c r="B24" s="349">
        <f>'déroulé en C et en B'!B100</f>
        <v>2026</v>
      </c>
      <c r="C24" s="350">
        <f>'déroulé en C et en B'!C100</f>
        <v>473</v>
      </c>
      <c r="D24" s="350">
        <f>'déroulé en C et en B'!D100</f>
        <v>473</v>
      </c>
      <c r="E24" s="350">
        <f>'déroulé en C et en B'!E100</f>
        <v>473</v>
      </c>
      <c r="F24" s="350">
        <f>'déroulé en C et en B'!F100</f>
        <v>473</v>
      </c>
      <c r="G24" s="350">
        <f>'déroulé en C et en B'!G100</f>
        <v>473</v>
      </c>
      <c r="H24" s="350">
        <f>'déroulé en C et en B'!H100</f>
        <v>473</v>
      </c>
      <c r="I24" s="350">
        <f>'déroulé en C et en B'!I100</f>
        <v>473</v>
      </c>
      <c r="J24" s="350">
        <f>'déroulé en C et en B'!J100</f>
        <v>473</v>
      </c>
      <c r="K24" s="350">
        <f>'déroulé en C et en B'!K100</f>
        <v>473</v>
      </c>
      <c r="L24" s="350">
        <f>'déroulé en C et en B'!L100</f>
        <v>473</v>
      </c>
      <c r="M24" s="350">
        <f>'déroulé en C et en B'!M100</f>
        <v>473</v>
      </c>
      <c r="N24" s="351">
        <f>'déroulé en C et en B'!N100</f>
        <v>473</v>
      </c>
      <c r="P24" s="349">
        <f>'déroulé en C et en B'!T100</f>
        <v>2026</v>
      </c>
      <c r="Q24" s="350">
        <f>'déroulé en C et en B'!U100</f>
        <v>477</v>
      </c>
      <c r="R24" s="350">
        <f>'déroulé en C et en B'!V100</f>
        <v>477</v>
      </c>
      <c r="S24" s="350">
        <f>'déroulé en C et en B'!W100</f>
        <v>477</v>
      </c>
      <c r="T24" s="350">
        <f>'déroulé en C et en B'!X100</f>
        <v>477</v>
      </c>
      <c r="U24" s="350">
        <f>'déroulé en C et en B'!Y100</f>
        <v>477</v>
      </c>
      <c r="V24" s="350">
        <f>'déroulé en C et en B'!Z100</f>
        <v>477</v>
      </c>
      <c r="W24" s="350">
        <f>'déroulé en C et en B'!AA100</f>
        <v>477</v>
      </c>
      <c r="X24" s="350">
        <f>'déroulé en C et en B'!AB100</f>
        <v>477</v>
      </c>
      <c r="Y24" s="350">
        <f>'déroulé en C et en B'!AC100</f>
        <v>477</v>
      </c>
      <c r="Z24" s="350">
        <f>'déroulé en C et en B'!AD100</f>
        <v>477</v>
      </c>
      <c r="AA24" s="350">
        <f>'déroulé en C et en B'!AE100</f>
        <v>477</v>
      </c>
      <c r="AB24" s="351">
        <f>'déroulé en C et en B'!AF100</f>
        <v>477</v>
      </c>
      <c r="AC24" s="348"/>
    </row>
    <row r="25" spans="1:29" s="347" customFormat="1" ht="12.75">
      <c r="A25" s="426"/>
      <c r="B25" s="349">
        <f>'déroulé en C et en B'!B101</f>
        <v>2027</v>
      </c>
      <c r="C25" s="350">
        <f>'déroulé en C et en B'!C101</f>
        <v>473</v>
      </c>
      <c r="D25" s="350">
        <f>'déroulé en C et en B'!D101</f>
        <v>473</v>
      </c>
      <c r="E25" s="350">
        <f>'déroulé en C et en B'!E101</f>
        <v>473</v>
      </c>
      <c r="F25" s="350">
        <f>'déroulé en C et en B'!F101</f>
        <v>473</v>
      </c>
      <c r="G25" s="350">
        <f>'déroulé en C et en B'!G101</f>
        <v>473</v>
      </c>
      <c r="H25" s="350">
        <f>'déroulé en C et en B'!H101</f>
        <v>473</v>
      </c>
      <c r="I25" s="350">
        <f>'déroulé en C et en B'!I101</f>
        <v>473</v>
      </c>
      <c r="J25" s="350">
        <f>'déroulé en C et en B'!J101</f>
        <v>473</v>
      </c>
      <c r="K25" s="350">
        <f>'déroulé en C et en B'!K101</f>
        <v>473</v>
      </c>
      <c r="L25" s="350">
        <f>'déroulé en C et en B'!L101</f>
        <v>473</v>
      </c>
      <c r="M25" s="350">
        <f>'déroulé en C et en B'!M101</f>
        <v>473</v>
      </c>
      <c r="N25" s="351">
        <f>'déroulé en C et en B'!N101</f>
        <v>473</v>
      </c>
      <c r="P25" s="349">
        <f>'déroulé en C et en B'!T101</f>
        <v>2027</v>
      </c>
      <c r="Q25" s="350">
        <f>'déroulé en C et en B'!U101</f>
        <v>477</v>
      </c>
      <c r="R25" s="350">
        <f>'déroulé en C et en B'!V101</f>
        <v>477</v>
      </c>
      <c r="S25" s="350">
        <f>'déroulé en C et en B'!W101</f>
        <v>503</v>
      </c>
      <c r="T25" s="350">
        <f>'déroulé en C et en B'!X101</f>
        <v>503</v>
      </c>
      <c r="U25" s="350">
        <f>'déroulé en C et en B'!Y101</f>
        <v>503</v>
      </c>
      <c r="V25" s="350">
        <f>'déroulé en C et en B'!Z101</f>
        <v>503</v>
      </c>
      <c r="W25" s="350">
        <f>'déroulé en C et en B'!AA101</f>
        <v>503</v>
      </c>
      <c r="X25" s="350">
        <f>'déroulé en C et en B'!AB101</f>
        <v>503</v>
      </c>
      <c r="Y25" s="350">
        <f>'déroulé en C et en B'!AC101</f>
        <v>503</v>
      </c>
      <c r="Z25" s="350">
        <f>'déroulé en C et en B'!AD101</f>
        <v>503</v>
      </c>
      <c r="AA25" s="350">
        <f>'déroulé en C et en B'!AE101</f>
        <v>503</v>
      </c>
      <c r="AB25" s="351">
        <f>'déroulé en C et en B'!AF101</f>
        <v>503</v>
      </c>
      <c r="AC25" s="348"/>
    </row>
    <row r="26" spans="1:29" s="347" customFormat="1" ht="12.75">
      <c r="A26" s="426"/>
      <c r="B26" s="349">
        <f>'déroulé en C et en B'!B102</f>
        <v>2028</v>
      </c>
      <c r="C26" s="350">
        <f>'déroulé en C et en B'!C102</f>
        <v>473</v>
      </c>
      <c r="D26" s="350">
        <f>'déroulé en C et en B'!D102</f>
        <v>473</v>
      </c>
      <c r="E26" s="350">
        <f>'déroulé en C et en B'!E102</f>
        <v>473</v>
      </c>
      <c r="F26" s="350">
        <f>'déroulé en C et en B'!F102</f>
        <v>473</v>
      </c>
      <c r="G26" s="350">
        <f>'déroulé en C et en B'!G102</f>
        <v>473</v>
      </c>
      <c r="H26" s="350">
        <f>'déroulé en C et en B'!H102</f>
        <v>473</v>
      </c>
      <c r="I26" s="350">
        <f>'déroulé en C et en B'!I102</f>
        <v>473</v>
      </c>
      <c r="J26" s="350">
        <f>'déroulé en C et en B'!J102</f>
        <v>473</v>
      </c>
      <c r="K26" s="350">
        <f>'déroulé en C et en B'!K102</f>
        <v>473</v>
      </c>
      <c r="L26" s="350">
        <f>'déroulé en C et en B'!L102</f>
        <v>473</v>
      </c>
      <c r="M26" s="350">
        <f>'déroulé en C et en B'!M102</f>
        <v>473</v>
      </c>
      <c r="N26" s="351">
        <f>'déroulé en C et en B'!N102</f>
        <v>473</v>
      </c>
      <c r="P26" s="349">
        <f>'déroulé en C et en B'!T102</f>
        <v>2028</v>
      </c>
      <c r="Q26" s="350">
        <f>'déroulé en C et en B'!U102</f>
        <v>503</v>
      </c>
      <c r="R26" s="350">
        <f>'déroulé en C et en B'!V102</f>
        <v>503</v>
      </c>
      <c r="S26" s="350">
        <f>'déroulé en C et en B'!W102</f>
        <v>503</v>
      </c>
      <c r="T26" s="350">
        <f>'déroulé en C et en B'!X102</f>
        <v>503</v>
      </c>
      <c r="U26" s="350">
        <f>'déroulé en C et en B'!Y102</f>
        <v>503</v>
      </c>
      <c r="V26" s="350">
        <f>'déroulé en C et en B'!Z102</f>
        <v>503</v>
      </c>
      <c r="W26" s="350">
        <f>'déroulé en C et en B'!AA102</f>
        <v>503</v>
      </c>
      <c r="X26" s="350">
        <f>'déroulé en C et en B'!AB102</f>
        <v>503</v>
      </c>
      <c r="Y26" s="350">
        <f>'déroulé en C et en B'!AC102</f>
        <v>503</v>
      </c>
      <c r="Z26" s="350">
        <f>'déroulé en C et en B'!AD102</f>
        <v>503</v>
      </c>
      <c r="AA26" s="350">
        <f>'déroulé en C et en B'!AE102</f>
        <v>503</v>
      </c>
      <c r="AB26" s="351">
        <f>'déroulé en C et en B'!AF102</f>
        <v>503</v>
      </c>
      <c r="AC26" s="348"/>
    </row>
    <row r="27" spans="1:29" s="347" customFormat="1" ht="12.75">
      <c r="A27" s="426"/>
      <c r="B27" s="349">
        <f>'déroulé en C et en B'!B103</f>
        <v>2029</v>
      </c>
      <c r="C27" s="350">
        <f>'déroulé en C et en B'!C103</f>
        <v>473</v>
      </c>
      <c r="D27" s="350">
        <f>'déroulé en C et en B'!D103</f>
        <v>473</v>
      </c>
      <c r="E27" s="350">
        <f>'déroulé en C et en B'!E103</f>
        <v>473</v>
      </c>
      <c r="F27" s="350">
        <f>'déroulé en C et en B'!F103</f>
        <v>473</v>
      </c>
      <c r="G27" s="350">
        <f>'déroulé en C et en B'!G103</f>
        <v>473</v>
      </c>
      <c r="H27" s="350">
        <f>'déroulé en C et en B'!H103</f>
        <v>473</v>
      </c>
      <c r="I27" s="350">
        <f>'déroulé en C et en B'!I103</f>
        <v>473</v>
      </c>
      <c r="J27" s="350">
        <f>'déroulé en C et en B'!J103</f>
        <v>473</v>
      </c>
      <c r="K27" s="350">
        <f>'déroulé en C et en B'!K103</f>
        <v>473</v>
      </c>
      <c r="L27" s="350">
        <f>'déroulé en C et en B'!L103</f>
        <v>473</v>
      </c>
      <c r="M27" s="350">
        <f>'déroulé en C et en B'!M103</f>
        <v>473</v>
      </c>
      <c r="N27" s="351">
        <f>'déroulé en C et en B'!N103</f>
        <v>473</v>
      </c>
      <c r="P27" s="349">
        <f>'déroulé en C et en B'!T103</f>
        <v>2029</v>
      </c>
      <c r="Q27" s="350">
        <f>'déroulé en C et en B'!U103</f>
        <v>503</v>
      </c>
      <c r="R27" s="350">
        <f>'déroulé en C et en B'!V103</f>
        <v>503</v>
      </c>
      <c r="S27" s="350">
        <f>'déroulé en C et en B'!W103</f>
        <v>503</v>
      </c>
      <c r="T27" s="350">
        <f>'déroulé en C et en B'!X103</f>
        <v>503</v>
      </c>
      <c r="U27" s="350">
        <f>'déroulé en C et en B'!Y103</f>
        <v>503</v>
      </c>
      <c r="V27" s="350">
        <f>'déroulé en C et en B'!Z103</f>
        <v>503</v>
      </c>
      <c r="W27" s="350">
        <f>'déroulé en C et en B'!AA103</f>
        <v>503</v>
      </c>
      <c r="X27" s="350">
        <f>'déroulé en C et en B'!AB103</f>
        <v>503</v>
      </c>
      <c r="Y27" s="350">
        <f>'déroulé en C et en B'!AC103</f>
        <v>503</v>
      </c>
      <c r="Z27" s="350">
        <f>'déroulé en C et en B'!AD103</f>
        <v>503</v>
      </c>
      <c r="AA27" s="350">
        <f>'déroulé en C et en B'!AE103</f>
        <v>503</v>
      </c>
      <c r="AB27" s="351">
        <f>'déroulé en C et en B'!AF103</f>
        <v>503</v>
      </c>
      <c r="AC27" s="348"/>
    </row>
    <row r="28" spans="1:29" s="347" customFormat="1" ht="14.25" customHeight="1">
      <c r="A28" s="426"/>
      <c r="B28" s="349">
        <f>'déroulé en C et en B'!B104</f>
        <v>2030</v>
      </c>
      <c r="C28" s="350">
        <f>'déroulé en C et en B'!C104</f>
        <v>473</v>
      </c>
      <c r="D28" s="350">
        <f>'déroulé en C et en B'!D104</f>
        <v>473</v>
      </c>
      <c r="E28" s="350">
        <f>'déroulé en C et en B'!E104</f>
        <v>473</v>
      </c>
      <c r="F28" s="350">
        <f>'déroulé en C et en B'!F104</f>
        <v>473</v>
      </c>
      <c r="G28" s="350">
        <f>'déroulé en C et en B'!G104</f>
        <v>473</v>
      </c>
      <c r="H28" s="350">
        <f>'déroulé en C et en B'!H104</f>
        <v>473</v>
      </c>
      <c r="I28" s="350">
        <f>'déroulé en C et en B'!I104</f>
        <v>473</v>
      </c>
      <c r="J28" s="350">
        <f>'déroulé en C et en B'!J104</f>
        <v>473</v>
      </c>
      <c r="K28" s="350">
        <f>'déroulé en C et en B'!K104</f>
        <v>473</v>
      </c>
      <c r="L28" s="350">
        <f>'déroulé en C et en B'!L104</f>
        <v>473</v>
      </c>
      <c r="M28" s="350">
        <f>'déroulé en C et en B'!M104</f>
        <v>473</v>
      </c>
      <c r="N28" s="351">
        <f>'déroulé en C et en B'!N104</f>
        <v>473</v>
      </c>
      <c r="P28" s="349">
        <f>'déroulé en C et en B'!T104</f>
        <v>2030</v>
      </c>
      <c r="Q28" s="350">
        <f>'déroulé en C et en B'!U104</f>
        <v>503</v>
      </c>
      <c r="R28" s="350">
        <f>'déroulé en C et en B'!V104</f>
        <v>503</v>
      </c>
      <c r="S28" s="350">
        <f>'déroulé en C et en B'!W104</f>
        <v>503</v>
      </c>
      <c r="T28" s="350">
        <f>'déroulé en C et en B'!X104</f>
        <v>503</v>
      </c>
      <c r="U28" s="350">
        <f>'déroulé en C et en B'!Y104</f>
        <v>503</v>
      </c>
      <c r="V28" s="350">
        <f>'déroulé en C et en B'!Z104</f>
        <v>503</v>
      </c>
      <c r="W28" s="350">
        <f>'déroulé en C et en B'!AA104</f>
        <v>503</v>
      </c>
      <c r="X28" s="350">
        <f>'déroulé en C et en B'!AB104</f>
        <v>503</v>
      </c>
      <c r="Y28" s="350">
        <f>'déroulé en C et en B'!AC104</f>
        <v>503</v>
      </c>
      <c r="Z28" s="350">
        <f>'déroulé en C et en B'!AD104</f>
        <v>503</v>
      </c>
      <c r="AA28" s="350">
        <f>'déroulé en C et en B'!AE104</f>
        <v>503</v>
      </c>
      <c r="AB28" s="351">
        <f>'déroulé en C et en B'!AF104</f>
        <v>503</v>
      </c>
      <c r="AC28" s="348"/>
    </row>
    <row r="29" spans="1:29" s="347" customFormat="1" ht="14.25" customHeight="1">
      <c r="A29" s="426"/>
      <c r="B29" s="349">
        <f>'déroulé en C et en B'!B105</f>
        <v>2031</v>
      </c>
      <c r="C29" s="350">
        <f>'déroulé en C et en B'!C105</f>
        <v>473</v>
      </c>
      <c r="D29" s="350">
        <f>'déroulé en C et en B'!D105</f>
        <v>473</v>
      </c>
      <c r="E29" s="350">
        <f>'déroulé en C et en B'!E105</f>
        <v>473</v>
      </c>
      <c r="F29" s="350">
        <f>'déroulé en C et en B'!F105</f>
        <v>473</v>
      </c>
      <c r="G29" s="350">
        <f>'déroulé en C et en B'!G105</f>
        <v>473</v>
      </c>
      <c r="H29" s="350">
        <f>'déroulé en C et en B'!H105</f>
        <v>473</v>
      </c>
      <c r="I29" s="350">
        <f>'déroulé en C et en B'!I105</f>
        <v>473</v>
      </c>
      <c r="J29" s="350">
        <f>'déroulé en C et en B'!J105</f>
        <v>473</v>
      </c>
      <c r="K29" s="350">
        <f>'déroulé en C et en B'!K105</f>
        <v>473</v>
      </c>
      <c r="L29" s="350">
        <f>'déroulé en C et en B'!L105</f>
        <v>473</v>
      </c>
      <c r="M29" s="350">
        <f>'déroulé en C et en B'!M105</f>
        <v>473</v>
      </c>
      <c r="N29" s="351">
        <f>'déroulé en C et en B'!N105</f>
        <v>473</v>
      </c>
      <c r="P29" s="349">
        <f>'déroulé en C et en B'!T105</f>
        <v>2031</v>
      </c>
      <c r="Q29" s="350">
        <f>'déroulé en C et en B'!U105</f>
        <v>503</v>
      </c>
      <c r="R29" s="350">
        <f>'déroulé en C et en B'!V105</f>
        <v>503</v>
      </c>
      <c r="S29" s="350">
        <f>'déroulé en C et en B'!W105</f>
        <v>503</v>
      </c>
      <c r="T29" s="350">
        <f>'déroulé en C et en B'!X105</f>
        <v>503</v>
      </c>
      <c r="U29" s="350">
        <f>'déroulé en C et en B'!Y105</f>
        <v>503</v>
      </c>
      <c r="V29" s="350">
        <f>'déroulé en C et en B'!Z105</f>
        <v>503</v>
      </c>
      <c r="W29" s="350">
        <f>'déroulé en C et en B'!AA105</f>
        <v>503</v>
      </c>
      <c r="X29" s="350">
        <f>'déroulé en C et en B'!AB105</f>
        <v>503</v>
      </c>
      <c r="Y29" s="350">
        <f>'déroulé en C et en B'!AC105</f>
        <v>503</v>
      </c>
      <c r="Z29" s="350">
        <f>'déroulé en C et en B'!AD105</f>
        <v>503</v>
      </c>
      <c r="AA29" s="350">
        <f>'déroulé en C et en B'!AE105</f>
        <v>503</v>
      </c>
      <c r="AB29" s="351">
        <f>'déroulé en C et en B'!AF105</f>
        <v>503</v>
      </c>
      <c r="AC29" s="348"/>
    </row>
    <row r="30" spans="1:29" s="347" customFormat="1" ht="14.25" customHeight="1">
      <c r="A30" s="426"/>
      <c r="B30" s="349">
        <f>'déroulé en C et en B'!B106</f>
        <v>2032</v>
      </c>
      <c r="C30" s="350">
        <f>'déroulé en C et en B'!C106</f>
        <v>473</v>
      </c>
      <c r="D30" s="350">
        <f>'déroulé en C et en B'!D106</f>
        <v>473</v>
      </c>
      <c r="E30" s="350">
        <f>'déroulé en C et en B'!E106</f>
        <v>473</v>
      </c>
      <c r="F30" s="350">
        <f>'déroulé en C et en B'!F106</f>
        <v>473</v>
      </c>
      <c r="G30" s="350">
        <f>'déroulé en C et en B'!G106</f>
        <v>473</v>
      </c>
      <c r="H30" s="350">
        <f>'déroulé en C et en B'!H106</f>
        <v>473</v>
      </c>
      <c r="I30" s="350">
        <f>'déroulé en C et en B'!I106</f>
        <v>473</v>
      </c>
      <c r="J30" s="350">
        <f>'déroulé en C et en B'!J106</f>
        <v>473</v>
      </c>
      <c r="K30" s="350">
        <f>'déroulé en C et en B'!K106</f>
        <v>473</v>
      </c>
      <c r="L30" s="350">
        <f>'déroulé en C et en B'!L106</f>
        <v>473</v>
      </c>
      <c r="M30" s="350">
        <f>'déroulé en C et en B'!M106</f>
        <v>473</v>
      </c>
      <c r="N30" s="351">
        <f>'déroulé en C et en B'!N106</f>
        <v>473</v>
      </c>
      <c r="P30" s="349">
        <f>'déroulé en C et en B'!T106</f>
        <v>2032</v>
      </c>
      <c r="Q30" s="350">
        <f>'déroulé en C et en B'!U106</f>
        <v>503</v>
      </c>
      <c r="R30" s="350">
        <f>'déroulé en C et en B'!V106</f>
        <v>503</v>
      </c>
      <c r="S30" s="350">
        <f>'déroulé en C et en B'!W106</f>
        <v>503</v>
      </c>
      <c r="T30" s="350">
        <f>'déroulé en C et en B'!X106</f>
        <v>503</v>
      </c>
      <c r="U30" s="350">
        <f>'déroulé en C et en B'!Y106</f>
        <v>503</v>
      </c>
      <c r="V30" s="350">
        <f>'déroulé en C et en B'!Z106</f>
        <v>503</v>
      </c>
      <c r="W30" s="350">
        <f>'déroulé en C et en B'!AA106</f>
        <v>503</v>
      </c>
      <c r="X30" s="350">
        <f>'déroulé en C et en B'!AB106</f>
        <v>503</v>
      </c>
      <c r="Y30" s="350">
        <f>'déroulé en C et en B'!AC106</f>
        <v>503</v>
      </c>
      <c r="Z30" s="350">
        <f>'déroulé en C et en B'!AD106</f>
        <v>503</v>
      </c>
      <c r="AA30" s="350">
        <f>'déroulé en C et en B'!AE106</f>
        <v>503</v>
      </c>
      <c r="AB30" s="351">
        <f>'déroulé en C et en B'!AF106</f>
        <v>503</v>
      </c>
      <c r="AC30" s="348"/>
    </row>
    <row r="31" spans="1:29" s="347" customFormat="1" ht="14.25" customHeight="1">
      <c r="A31" s="426"/>
      <c r="B31" s="349">
        <f>'déroulé en C et en B'!B107</f>
        <v>2033</v>
      </c>
      <c r="C31" s="350">
        <f>'déroulé en C et en B'!C107</f>
        <v>473</v>
      </c>
      <c r="D31" s="350">
        <f>'déroulé en C et en B'!D107</f>
        <v>473</v>
      </c>
      <c r="E31" s="350">
        <f>'déroulé en C et en B'!E107</f>
        <v>473</v>
      </c>
      <c r="F31" s="350">
        <f>'déroulé en C et en B'!F107</f>
        <v>473</v>
      </c>
      <c r="G31" s="350">
        <f>'déroulé en C et en B'!G107</f>
        <v>473</v>
      </c>
      <c r="H31" s="350">
        <f>'déroulé en C et en B'!H107</f>
        <v>473</v>
      </c>
      <c r="I31" s="350">
        <f>'déroulé en C et en B'!I107</f>
        <v>473</v>
      </c>
      <c r="J31" s="350">
        <f>'déroulé en C et en B'!J107</f>
        <v>473</v>
      </c>
      <c r="K31" s="350">
        <f>'déroulé en C et en B'!K107</f>
        <v>473</v>
      </c>
      <c r="L31" s="350">
        <f>'déroulé en C et en B'!L107</f>
        <v>473</v>
      </c>
      <c r="M31" s="350">
        <f>'déroulé en C et en B'!M107</f>
        <v>473</v>
      </c>
      <c r="N31" s="351">
        <f>'déroulé en C et en B'!N107</f>
        <v>473</v>
      </c>
      <c r="P31" s="349">
        <f>'déroulé en C et en B'!T107</f>
        <v>2033</v>
      </c>
      <c r="Q31" s="350">
        <f>'déroulé en C et en B'!U107</f>
        <v>503</v>
      </c>
      <c r="R31" s="350">
        <f>'déroulé en C et en B'!V107</f>
        <v>503</v>
      </c>
      <c r="S31" s="350">
        <f>'déroulé en C et en B'!W107</f>
        <v>503</v>
      </c>
      <c r="T31" s="350">
        <f>'déroulé en C et en B'!X107</f>
        <v>503</v>
      </c>
      <c r="U31" s="350">
        <f>'déroulé en C et en B'!Y107</f>
        <v>503</v>
      </c>
      <c r="V31" s="350">
        <f>'déroulé en C et en B'!Z107</f>
        <v>503</v>
      </c>
      <c r="W31" s="350">
        <f>'déroulé en C et en B'!AA107</f>
        <v>503</v>
      </c>
      <c r="X31" s="350">
        <f>'déroulé en C et en B'!AB107</f>
        <v>503</v>
      </c>
      <c r="Y31" s="350">
        <f>'déroulé en C et en B'!AC107</f>
        <v>503</v>
      </c>
      <c r="Z31" s="350">
        <f>'déroulé en C et en B'!AD107</f>
        <v>503</v>
      </c>
      <c r="AA31" s="350">
        <f>'déroulé en C et en B'!AE107</f>
        <v>503</v>
      </c>
      <c r="AB31" s="351">
        <f>'déroulé en C et en B'!AF107</f>
        <v>503</v>
      </c>
      <c r="AC31" s="348"/>
    </row>
    <row r="32" spans="1:29" s="347" customFormat="1" ht="14.25" customHeight="1">
      <c r="A32" s="426"/>
      <c r="B32" s="349">
        <f>'déroulé en C et en B'!B108</f>
        <v>2034</v>
      </c>
      <c r="C32" s="350">
        <f>'déroulé en C et en B'!C108</f>
        <v>473</v>
      </c>
      <c r="D32" s="350">
        <f>'déroulé en C et en B'!D108</f>
        <v>473</v>
      </c>
      <c r="E32" s="350">
        <f>'déroulé en C et en B'!E108</f>
        <v>473</v>
      </c>
      <c r="F32" s="350">
        <f>'déroulé en C et en B'!F108</f>
        <v>473</v>
      </c>
      <c r="G32" s="350">
        <f>'déroulé en C et en B'!G108</f>
        <v>473</v>
      </c>
      <c r="H32" s="350">
        <f>'déroulé en C et en B'!H108</f>
        <v>473</v>
      </c>
      <c r="I32" s="350">
        <f>'déroulé en C et en B'!I108</f>
        <v>473</v>
      </c>
      <c r="J32" s="350">
        <f>'déroulé en C et en B'!J108</f>
        <v>473</v>
      </c>
      <c r="K32" s="350">
        <f>'déroulé en C et en B'!K108</f>
        <v>473</v>
      </c>
      <c r="L32" s="350">
        <f>'déroulé en C et en B'!L108</f>
        <v>473</v>
      </c>
      <c r="M32" s="350">
        <f>'déroulé en C et en B'!M108</f>
        <v>473</v>
      </c>
      <c r="N32" s="351">
        <f>'déroulé en C et en B'!N108</f>
        <v>473</v>
      </c>
      <c r="P32" s="349">
        <f>'déroulé en C et en B'!T108</f>
        <v>2034</v>
      </c>
      <c r="Q32" s="350">
        <f>'déroulé en C et en B'!U108</f>
        <v>503</v>
      </c>
      <c r="R32" s="350">
        <f>'déroulé en C et en B'!V108</f>
        <v>503</v>
      </c>
      <c r="S32" s="350">
        <f>'déroulé en C et en B'!W108</f>
        <v>503</v>
      </c>
      <c r="T32" s="350">
        <f>'déroulé en C et en B'!X108</f>
        <v>503</v>
      </c>
      <c r="U32" s="350">
        <f>'déroulé en C et en B'!Y108</f>
        <v>503</v>
      </c>
      <c r="V32" s="350">
        <f>'déroulé en C et en B'!Z108</f>
        <v>503</v>
      </c>
      <c r="W32" s="350">
        <f>'déroulé en C et en B'!AA108</f>
        <v>503</v>
      </c>
      <c r="X32" s="350">
        <f>'déroulé en C et en B'!AB108</f>
        <v>503</v>
      </c>
      <c r="Y32" s="350">
        <f>'déroulé en C et en B'!AC108</f>
        <v>503</v>
      </c>
      <c r="Z32" s="350">
        <f>'déroulé en C et en B'!AD108</f>
        <v>503</v>
      </c>
      <c r="AA32" s="350">
        <f>'déroulé en C et en B'!AE108</f>
        <v>503</v>
      </c>
      <c r="AB32" s="351">
        <f>'déroulé en C et en B'!AF108</f>
        <v>503</v>
      </c>
      <c r="AC32" s="348"/>
    </row>
    <row r="33" spans="1:29" s="347" customFormat="1" ht="14.25" customHeight="1">
      <c r="A33" s="426"/>
      <c r="B33" s="349">
        <f>'déroulé en C et en B'!B109</f>
        <v>2035</v>
      </c>
      <c r="C33" s="350">
        <f>'déroulé en C et en B'!C109</f>
        <v>473</v>
      </c>
      <c r="D33" s="350">
        <f>'déroulé en C et en B'!D109</f>
        <v>473</v>
      </c>
      <c r="E33" s="350">
        <f>'déroulé en C et en B'!E109</f>
        <v>473</v>
      </c>
      <c r="F33" s="350">
        <f>'déroulé en C et en B'!F109</f>
        <v>473</v>
      </c>
      <c r="G33" s="350">
        <f>'déroulé en C et en B'!G109</f>
        <v>473</v>
      </c>
      <c r="H33" s="350">
        <f>'déroulé en C et en B'!H109</f>
        <v>473</v>
      </c>
      <c r="I33" s="350">
        <f>'déroulé en C et en B'!I109</f>
        <v>473</v>
      </c>
      <c r="J33" s="350">
        <f>'déroulé en C et en B'!J109</f>
        <v>473</v>
      </c>
      <c r="K33" s="350">
        <f>'déroulé en C et en B'!K109</f>
        <v>473</v>
      </c>
      <c r="L33" s="350">
        <f>'déroulé en C et en B'!L109</f>
        <v>473</v>
      </c>
      <c r="M33" s="350">
        <f>'déroulé en C et en B'!M109</f>
        <v>473</v>
      </c>
      <c r="N33" s="351">
        <f>'déroulé en C et en B'!N109</f>
        <v>473</v>
      </c>
      <c r="P33" s="349">
        <f>'déroulé en C et en B'!T109</f>
        <v>2035</v>
      </c>
      <c r="Q33" s="350">
        <f>'déroulé en C et en B'!U109</f>
        <v>503</v>
      </c>
      <c r="R33" s="350">
        <f>'déroulé en C et en B'!V109</f>
        <v>503</v>
      </c>
      <c r="S33" s="350">
        <f>'déroulé en C et en B'!W109</f>
        <v>503</v>
      </c>
      <c r="T33" s="350">
        <f>'déroulé en C et en B'!X109</f>
        <v>503</v>
      </c>
      <c r="U33" s="350">
        <f>'déroulé en C et en B'!Y109</f>
        <v>503</v>
      </c>
      <c r="V33" s="350">
        <f>'déroulé en C et en B'!Z109</f>
        <v>503</v>
      </c>
      <c r="W33" s="350">
        <f>'déroulé en C et en B'!AA109</f>
        <v>503</v>
      </c>
      <c r="X33" s="350">
        <f>'déroulé en C et en B'!AB109</f>
        <v>503</v>
      </c>
      <c r="Y33" s="350">
        <f>'déroulé en C et en B'!AC109</f>
        <v>503</v>
      </c>
      <c r="Z33" s="350">
        <f>'déroulé en C et en B'!AD109</f>
        <v>503</v>
      </c>
      <c r="AA33" s="350">
        <f>'déroulé en C et en B'!AE109</f>
        <v>503</v>
      </c>
      <c r="AB33" s="351">
        <f>'déroulé en C et en B'!AF109</f>
        <v>503</v>
      </c>
      <c r="AC33" s="348"/>
    </row>
    <row r="34" spans="1:29" s="347" customFormat="1" ht="14.25" customHeight="1">
      <c r="A34" s="426"/>
      <c r="B34" s="349">
        <f>'déroulé en C et en B'!B110</f>
        <v>2036</v>
      </c>
      <c r="C34" s="350">
        <f>'déroulé en C et en B'!C110</f>
        <v>473</v>
      </c>
      <c r="D34" s="350">
        <f>'déroulé en C et en B'!D110</f>
        <v>473</v>
      </c>
      <c r="E34" s="350">
        <f>'déroulé en C et en B'!E110</f>
        <v>473</v>
      </c>
      <c r="F34" s="350">
        <f>'déroulé en C et en B'!F110</f>
        <v>473</v>
      </c>
      <c r="G34" s="350">
        <f>'déroulé en C et en B'!G110</f>
        <v>473</v>
      </c>
      <c r="H34" s="350">
        <f>'déroulé en C et en B'!H110</f>
        <v>473</v>
      </c>
      <c r="I34" s="350">
        <f>'déroulé en C et en B'!I110</f>
        <v>473</v>
      </c>
      <c r="J34" s="350">
        <f>'déroulé en C et en B'!J110</f>
        <v>473</v>
      </c>
      <c r="K34" s="350">
        <f>'déroulé en C et en B'!K110</f>
        <v>473</v>
      </c>
      <c r="L34" s="350">
        <f>'déroulé en C et en B'!L110</f>
        <v>473</v>
      </c>
      <c r="M34" s="350">
        <f>'déroulé en C et en B'!M110</f>
        <v>473</v>
      </c>
      <c r="N34" s="351">
        <f>'déroulé en C et en B'!N110</f>
        <v>473</v>
      </c>
      <c r="P34" s="349">
        <f>'déroulé en C et en B'!T110</f>
        <v>2036</v>
      </c>
      <c r="Q34" s="350">
        <f>'déroulé en C et en B'!U110</f>
        <v>503</v>
      </c>
      <c r="R34" s="350">
        <f>'déroulé en C et en B'!V110</f>
        <v>503</v>
      </c>
      <c r="S34" s="350">
        <f>'déroulé en C et en B'!W110</f>
        <v>503</v>
      </c>
      <c r="T34" s="350">
        <f>'déroulé en C et en B'!X110</f>
        <v>503</v>
      </c>
      <c r="U34" s="350">
        <f>'déroulé en C et en B'!Y110</f>
        <v>503</v>
      </c>
      <c r="V34" s="350">
        <f>'déroulé en C et en B'!Z110</f>
        <v>503</v>
      </c>
      <c r="W34" s="350">
        <f>'déroulé en C et en B'!AA110</f>
        <v>503</v>
      </c>
      <c r="X34" s="350">
        <f>'déroulé en C et en B'!AB110</f>
        <v>503</v>
      </c>
      <c r="Y34" s="350">
        <f>'déroulé en C et en B'!AC110</f>
        <v>503</v>
      </c>
      <c r="Z34" s="350">
        <f>'déroulé en C et en B'!AD110</f>
        <v>503</v>
      </c>
      <c r="AA34" s="350">
        <f>'déroulé en C et en B'!AE110</f>
        <v>503</v>
      </c>
      <c r="AB34" s="351">
        <f>'déroulé en C et en B'!AF110</f>
        <v>503</v>
      </c>
      <c r="AC34" s="348"/>
    </row>
    <row r="35" spans="1:29" s="347" customFormat="1" ht="14.25" customHeight="1">
      <c r="A35" s="426"/>
      <c r="B35" s="349">
        <f>'déroulé en C et en B'!B111</f>
        <v>2037</v>
      </c>
      <c r="C35" s="350">
        <f>'déroulé en C et en B'!C111</f>
        <v>473</v>
      </c>
      <c r="D35" s="350">
        <f>'déroulé en C et en B'!D111</f>
        <v>473</v>
      </c>
      <c r="E35" s="350">
        <f>'déroulé en C et en B'!E111</f>
        <v>473</v>
      </c>
      <c r="F35" s="350">
        <f>'déroulé en C et en B'!F111</f>
        <v>473</v>
      </c>
      <c r="G35" s="350">
        <f>'déroulé en C et en B'!G111</f>
        <v>473</v>
      </c>
      <c r="H35" s="350">
        <f>'déroulé en C et en B'!H111</f>
        <v>473</v>
      </c>
      <c r="I35" s="350">
        <f>'déroulé en C et en B'!I111</f>
        <v>473</v>
      </c>
      <c r="J35" s="350">
        <f>'déroulé en C et en B'!J111</f>
        <v>473</v>
      </c>
      <c r="K35" s="350">
        <f>'déroulé en C et en B'!K111</f>
        <v>473</v>
      </c>
      <c r="L35" s="350">
        <f>'déroulé en C et en B'!L111</f>
        <v>473</v>
      </c>
      <c r="M35" s="350">
        <f>'déroulé en C et en B'!M111</f>
        <v>473</v>
      </c>
      <c r="N35" s="351">
        <f>'déroulé en C et en B'!N111</f>
        <v>473</v>
      </c>
      <c r="P35" s="349">
        <f>'déroulé en C et en B'!T111</f>
        <v>2037</v>
      </c>
      <c r="Q35" s="350">
        <f>'déroulé en C et en B'!U111</f>
        <v>503</v>
      </c>
      <c r="R35" s="350">
        <f>'déroulé en C et en B'!V111</f>
        <v>503</v>
      </c>
      <c r="S35" s="350">
        <f>'déroulé en C et en B'!W111</f>
        <v>503</v>
      </c>
      <c r="T35" s="350">
        <f>'déroulé en C et en B'!X111</f>
        <v>503</v>
      </c>
      <c r="U35" s="350">
        <f>'déroulé en C et en B'!Y111</f>
        <v>503</v>
      </c>
      <c r="V35" s="350">
        <f>'déroulé en C et en B'!Z111</f>
        <v>503</v>
      </c>
      <c r="W35" s="350">
        <f>'déroulé en C et en B'!AA111</f>
        <v>503</v>
      </c>
      <c r="X35" s="350">
        <f>'déroulé en C et en B'!AB111</f>
        <v>503</v>
      </c>
      <c r="Y35" s="350">
        <f>'déroulé en C et en B'!AC111</f>
        <v>503</v>
      </c>
      <c r="Z35" s="350">
        <f>'déroulé en C et en B'!AD111</f>
        <v>503</v>
      </c>
      <c r="AA35" s="350">
        <f>'déroulé en C et en B'!AE111</f>
        <v>503</v>
      </c>
      <c r="AB35" s="351">
        <f>'déroulé en C et en B'!AF111</f>
        <v>503</v>
      </c>
      <c r="AC35" s="348"/>
    </row>
    <row r="36" spans="1:29" s="347" customFormat="1" ht="14.25" customHeight="1">
      <c r="A36" s="426"/>
      <c r="B36" s="349">
        <f>'déroulé en C et en B'!B112</f>
        <v>2038</v>
      </c>
      <c r="C36" s="350">
        <f>'déroulé en C et en B'!C112</f>
        <v>473</v>
      </c>
      <c r="D36" s="350">
        <f>'déroulé en C et en B'!D112</f>
        <v>473</v>
      </c>
      <c r="E36" s="350">
        <f>'déroulé en C et en B'!E112</f>
        <v>473</v>
      </c>
      <c r="F36" s="350">
        <f>'déroulé en C et en B'!F112</f>
        <v>473</v>
      </c>
      <c r="G36" s="350">
        <f>'déroulé en C et en B'!G112</f>
        <v>473</v>
      </c>
      <c r="H36" s="350">
        <f>'déroulé en C et en B'!H112</f>
        <v>473</v>
      </c>
      <c r="I36" s="350">
        <f>'déroulé en C et en B'!I112</f>
        <v>473</v>
      </c>
      <c r="J36" s="350">
        <f>'déroulé en C et en B'!J112</f>
        <v>473</v>
      </c>
      <c r="K36" s="350">
        <f>'déroulé en C et en B'!K112</f>
        <v>473</v>
      </c>
      <c r="L36" s="350">
        <f>'déroulé en C et en B'!L112</f>
        <v>473</v>
      </c>
      <c r="M36" s="350">
        <f>'déroulé en C et en B'!M112</f>
        <v>473</v>
      </c>
      <c r="N36" s="351">
        <f>'déroulé en C et en B'!N112</f>
        <v>473</v>
      </c>
      <c r="P36" s="349">
        <f>'déroulé en C et en B'!T112</f>
        <v>2038</v>
      </c>
      <c r="Q36" s="350">
        <f>'déroulé en C et en B'!U112</f>
        <v>503</v>
      </c>
      <c r="R36" s="350">
        <f>'déroulé en C et en B'!V112</f>
        <v>503</v>
      </c>
      <c r="S36" s="350">
        <f>'déroulé en C et en B'!W112</f>
        <v>503</v>
      </c>
      <c r="T36" s="350">
        <f>'déroulé en C et en B'!X112</f>
        <v>503</v>
      </c>
      <c r="U36" s="350">
        <f>'déroulé en C et en B'!Y112</f>
        <v>503</v>
      </c>
      <c r="V36" s="350">
        <f>'déroulé en C et en B'!Z112</f>
        <v>503</v>
      </c>
      <c r="W36" s="350">
        <f>'déroulé en C et en B'!AA112</f>
        <v>503</v>
      </c>
      <c r="X36" s="350">
        <f>'déroulé en C et en B'!AB112</f>
        <v>503</v>
      </c>
      <c r="Y36" s="350">
        <f>'déroulé en C et en B'!AC112</f>
        <v>503</v>
      </c>
      <c r="Z36" s="350">
        <f>'déroulé en C et en B'!AD112</f>
        <v>503</v>
      </c>
      <c r="AA36" s="350">
        <f>'déroulé en C et en B'!AE112</f>
        <v>503</v>
      </c>
      <c r="AB36" s="351">
        <f>'déroulé en C et en B'!AF112</f>
        <v>503</v>
      </c>
      <c r="AC36" s="348"/>
    </row>
    <row r="37" ht="12.75" thickBot="1"/>
    <row r="38" spans="2:28" ht="39.75" customHeight="1" thickBot="1">
      <c r="B38" s="427" t="s">
        <v>180</v>
      </c>
      <c r="C38" s="428"/>
      <c r="D38" s="428"/>
      <c r="E38" s="428"/>
      <c r="F38" s="428"/>
      <c r="G38" s="428"/>
      <c r="H38" s="428"/>
      <c r="I38" s="428"/>
      <c r="J38" s="428"/>
      <c r="K38" s="428"/>
      <c r="L38" s="428"/>
      <c r="M38" s="428"/>
      <c r="N38" s="428"/>
      <c r="O38" s="431" t="s">
        <v>128</v>
      </c>
      <c r="P38" s="432"/>
      <c r="Q38" s="435" t="s">
        <v>129</v>
      </c>
      <c r="R38" s="436"/>
      <c r="T38" s="441" t="s">
        <v>131</v>
      </c>
      <c r="U38" s="442"/>
      <c r="V38" s="443"/>
      <c r="X38" s="437" t="s">
        <v>172</v>
      </c>
      <c r="Y38" s="438"/>
      <c r="AA38" s="309"/>
      <c r="AB38" s="309"/>
    </row>
    <row r="39" spans="2:33" ht="39.75" customHeight="1" thickBot="1">
      <c r="B39" s="429"/>
      <c r="C39" s="430"/>
      <c r="D39" s="430"/>
      <c r="E39" s="430"/>
      <c r="F39" s="430"/>
      <c r="G39" s="430"/>
      <c r="H39" s="430"/>
      <c r="I39" s="430"/>
      <c r="J39" s="430"/>
      <c r="K39" s="430"/>
      <c r="L39" s="430"/>
      <c r="M39" s="430"/>
      <c r="N39" s="430"/>
      <c r="O39" s="433"/>
      <c r="P39" s="434"/>
      <c r="Q39" s="430"/>
      <c r="R39" s="426"/>
      <c r="T39" s="444"/>
      <c r="U39" s="445"/>
      <c r="V39" s="446"/>
      <c r="W39" s="354"/>
      <c r="X39" s="439"/>
      <c r="Y39" s="440"/>
      <c r="Z39" s="409" t="s">
        <v>191</v>
      </c>
      <c r="AA39" s="410"/>
      <c r="AB39" s="410"/>
      <c r="AC39" s="410"/>
      <c r="AD39" s="411"/>
      <c r="AF39" s="355"/>
      <c r="AG39" s="355"/>
    </row>
    <row r="40" spans="2:34" ht="16.5" customHeight="1" thickBot="1">
      <c r="B40" s="356" t="s">
        <v>90</v>
      </c>
      <c r="C40" s="357" t="s">
        <v>91</v>
      </c>
      <c r="D40" s="357" t="s">
        <v>92</v>
      </c>
      <c r="E40" s="357" t="s">
        <v>93</v>
      </c>
      <c r="F40" s="357" t="s">
        <v>94</v>
      </c>
      <c r="G40" s="357" t="s">
        <v>95</v>
      </c>
      <c r="H40" s="357" t="s">
        <v>96</v>
      </c>
      <c r="I40" s="357" t="s">
        <v>97</v>
      </c>
      <c r="J40" s="357" t="s">
        <v>98</v>
      </c>
      <c r="K40" s="357" t="s">
        <v>99</v>
      </c>
      <c r="L40" s="357" t="s">
        <v>100</v>
      </c>
      <c r="M40" s="357" t="s">
        <v>101</v>
      </c>
      <c r="N40" s="358" t="s">
        <v>102</v>
      </c>
      <c r="O40" s="359" t="s">
        <v>130</v>
      </c>
      <c r="P40" s="360" t="s">
        <v>134</v>
      </c>
      <c r="Q40" s="361" t="s">
        <v>130</v>
      </c>
      <c r="R40" s="362" t="s">
        <v>134</v>
      </c>
      <c r="T40" s="363" t="s">
        <v>45</v>
      </c>
      <c r="U40" s="360" t="s">
        <v>64</v>
      </c>
      <c r="V40" s="362" t="s">
        <v>132</v>
      </c>
      <c r="W40" s="364"/>
      <c r="X40" s="363" t="s">
        <v>130</v>
      </c>
      <c r="Y40" s="365" t="s">
        <v>134</v>
      </c>
      <c r="Z40" s="412" t="s">
        <v>194</v>
      </c>
      <c r="AA40" s="413"/>
      <c r="AB40" s="413"/>
      <c r="AC40" s="366" t="s">
        <v>188</v>
      </c>
      <c r="AD40" s="367" t="s">
        <v>189</v>
      </c>
      <c r="AG40" s="308"/>
      <c r="AH40" s="308"/>
    </row>
    <row r="41" spans="1:34" ht="25.5" customHeight="1">
      <c r="A41" s="368">
        <f aca="true" t="shared" si="0" ref="A41:A51">IF(Y41&lt;0,"GAIN DE PROMO NEGATIF (indiciaire + indemnitaire) en cumulé","")</f>
      </c>
      <c r="B41" s="369">
        <v>2016</v>
      </c>
      <c r="C41" s="370">
        <f>Q14-C14</f>
        <v>6</v>
      </c>
      <c r="D41" s="370">
        <f aca="true" t="shared" si="1" ref="D41:D63">R14-D14</f>
        <v>6</v>
      </c>
      <c r="E41" s="370">
        <f aca="true" t="shared" si="2" ref="E41:E63">S14-E14</f>
        <v>6</v>
      </c>
      <c r="F41" s="370">
        <f aca="true" t="shared" si="3" ref="F41:F63">T14-F14</f>
        <v>6</v>
      </c>
      <c r="G41" s="370">
        <f aca="true" t="shared" si="4" ref="G41:G63">U14-G14</f>
        <v>6</v>
      </c>
      <c r="H41" s="370">
        <f aca="true" t="shared" si="5" ref="H41:H63">V14-H14</f>
        <v>6</v>
      </c>
      <c r="I41" s="371">
        <f aca="true" t="shared" si="6" ref="I41:J63">W14-I14</f>
        <v>6</v>
      </c>
      <c r="J41" s="371">
        <f t="shared" si="6"/>
        <v>6</v>
      </c>
      <c r="K41" s="371">
        <f aca="true" t="shared" si="7" ref="K41:K63">Y14-K14</f>
        <v>6</v>
      </c>
      <c r="L41" s="371">
        <f aca="true" t="shared" si="8" ref="L41:L63">Z14-L14</f>
        <v>6</v>
      </c>
      <c r="M41" s="371">
        <f aca="true" t="shared" si="9" ref="M41:M63">AA14-M14</f>
        <v>6</v>
      </c>
      <c r="N41" s="372">
        <f aca="true" t="shared" si="10" ref="N41:N63">AB14-N14</f>
        <v>6</v>
      </c>
      <c r="O41" s="373">
        <f aca="true" t="shared" si="11" ref="O41:O63">SUM(C41:N41)</f>
        <v>72</v>
      </c>
      <c r="P41" s="374">
        <f>O41</f>
        <v>72</v>
      </c>
      <c r="Q41" s="375">
        <f>(SUM(C41:H41)*(AB6/12))+(SUM(I41:N41)*(AB7/12))</f>
        <v>334.3813672636151</v>
      </c>
      <c r="R41" s="374">
        <f>Q41</f>
        <v>334.3813672636151</v>
      </c>
      <c r="T41" s="376">
        <f>$AD$47*(((AB6/12)*SUM(C14:H14))+((AB7/12)*SUM(I14:N14)))</f>
        <v>15169.210725913901</v>
      </c>
      <c r="U41" s="376">
        <f>AC47*(((AB6/12)*SUM(Q14:V14))+((AB7/12)*SUM(W14:AB14)))</f>
        <v>17054.564335001916</v>
      </c>
      <c r="V41" s="377">
        <f>-T41+U41</f>
        <v>1885.3536090880152</v>
      </c>
      <c r="X41" s="375">
        <f>(-5*(AB6+AB7)/2)+Q41+V41</f>
        <v>1941.0838369652845</v>
      </c>
      <c r="Y41" s="378">
        <f>X41</f>
        <v>1941.0838369652845</v>
      </c>
      <c r="Z41" s="405" t="s">
        <v>185</v>
      </c>
      <c r="AA41" s="406"/>
      <c r="AB41" s="406"/>
      <c r="AC41" s="379">
        <v>0.14</v>
      </c>
      <c r="AD41" s="380">
        <v>0.14</v>
      </c>
      <c r="AG41" s="308"/>
      <c r="AH41" s="308"/>
    </row>
    <row r="42" spans="1:34" ht="25.5" customHeight="1">
      <c r="A42" s="368">
        <f t="shared" si="0"/>
      </c>
      <c r="B42" s="369">
        <v>2017</v>
      </c>
      <c r="C42" s="381">
        <f>Q15-C15</f>
        <v>-1</v>
      </c>
      <c r="D42" s="381">
        <f t="shared" si="1"/>
        <v>10</v>
      </c>
      <c r="E42" s="381">
        <f t="shared" si="2"/>
        <v>10</v>
      </c>
      <c r="F42" s="381">
        <f t="shared" si="3"/>
        <v>10</v>
      </c>
      <c r="G42" s="381">
        <f t="shared" si="4"/>
        <v>10</v>
      </c>
      <c r="H42" s="381">
        <f t="shared" si="5"/>
        <v>10</v>
      </c>
      <c r="I42" s="381">
        <f aca="true" t="shared" si="12" ref="I42:I63">W15-I15</f>
        <v>10</v>
      </c>
      <c r="J42" s="381">
        <f t="shared" si="6"/>
        <v>10</v>
      </c>
      <c r="K42" s="381">
        <f t="shared" si="7"/>
        <v>-5</v>
      </c>
      <c r="L42" s="381">
        <f t="shared" si="8"/>
        <v>-5</v>
      </c>
      <c r="M42" s="381">
        <f t="shared" si="9"/>
        <v>-5</v>
      </c>
      <c r="N42" s="382">
        <f t="shared" si="10"/>
        <v>-5</v>
      </c>
      <c r="O42" s="383">
        <f t="shared" si="11"/>
        <v>49</v>
      </c>
      <c r="P42" s="384">
        <f aca="true" t="shared" si="13" ref="P42:P63">P41+O42</f>
        <v>121</v>
      </c>
      <c r="Q42" s="375">
        <f>(C42*(AB7/12))+(SUM(D42:N42)*(AB8/12))</f>
        <v>229.6431734592445</v>
      </c>
      <c r="R42" s="384">
        <f>Q42+R41</f>
        <v>564.0245407228597</v>
      </c>
      <c r="T42" s="376">
        <f>$AD$47*(((AB7/12)*C15)+((AB8/12)*SUM(D15:N15)))</f>
        <v>15769.62606732853</v>
      </c>
      <c r="U42" s="376">
        <f>$AC$47*(((AB7/12)*Q15)+((AB8/12)*SUM(R15:AB15)))</f>
        <v>17645.25322272863</v>
      </c>
      <c r="V42" s="385">
        <f>-T42+U42</f>
        <v>1875.6271554000978</v>
      </c>
      <c r="X42" s="386">
        <f>-2*(((AB7)/12)+(11*AB8/12))+Q42+V42</f>
        <v>1992.8616257778313</v>
      </c>
      <c r="Y42" s="387">
        <f>X42+Y41</f>
        <v>3933.945462743116</v>
      </c>
      <c r="Z42" s="405" t="s">
        <v>186</v>
      </c>
      <c r="AA42" s="406"/>
      <c r="AB42" s="406"/>
      <c r="AC42" s="379">
        <v>0.25</v>
      </c>
      <c r="AD42" s="380">
        <v>0.18</v>
      </c>
      <c r="AG42" s="308"/>
      <c r="AH42" s="308"/>
    </row>
    <row r="43" spans="1:34" ht="25.5" customHeight="1">
      <c r="A43" s="368">
        <f t="shared" si="0"/>
      </c>
      <c r="B43" s="369">
        <v>2018</v>
      </c>
      <c r="C43" s="381">
        <f>Q16-C16</f>
        <v>-9</v>
      </c>
      <c r="D43" s="381">
        <f t="shared" si="1"/>
        <v>-9</v>
      </c>
      <c r="E43" s="381">
        <f t="shared" si="2"/>
        <v>-9</v>
      </c>
      <c r="F43" s="381">
        <f t="shared" si="3"/>
        <v>-9</v>
      </c>
      <c r="G43" s="381">
        <f t="shared" si="4"/>
        <v>-9</v>
      </c>
      <c r="H43" s="381">
        <f t="shared" si="5"/>
        <v>-9</v>
      </c>
      <c r="I43" s="381">
        <f t="shared" si="12"/>
        <v>-9</v>
      </c>
      <c r="J43" s="381">
        <f t="shared" si="6"/>
        <v>-9</v>
      </c>
      <c r="K43" s="381">
        <f t="shared" si="7"/>
        <v>-9</v>
      </c>
      <c r="L43" s="381">
        <f t="shared" si="8"/>
        <v>-9</v>
      </c>
      <c r="M43" s="381">
        <f t="shared" si="9"/>
        <v>-9</v>
      </c>
      <c r="N43" s="382">
        <f t="shared" si="10"/>
        <v>-9</v>
      </c>
      <c r="O43" s="383">
        <f t="shared" si="11"/>
        <v>-108</v>
      </c>
      <c r="P43" s="384">
        <f t="shared" si="13"/>
        <v>13</v>
      </c>
      <c r="Q43" s="386">
        <f>O43*$AB$8/12</f>
        <v>-506.0907</v>
      </c>
      <c r="R43" s="384">
        <f aca="true" t="shared" si="14" ref="R43:R63">Q43+R42</f>
        <v>57.93384072285966</v>
      </c>
      <c r="T43" s="376">
        <f>$AD$47*($AB$8/12)*(SUM(C16:N16))</f>
        <v>16321.425075</v>
      </c>
      <c r="U43" s="388">
        <f>$AC$47*($AB$8/12)*(SUM(Q16:AB16))</f>
        <v>17730.887674499998</v>
      </c>
      <c r="V43" s="385">
        <f aca="true" t="shared" si="15" ref="V43:V63">-T43+U43</f>
        <v>1409.4625994999988</v>
      </c>
      <c r="X43" s="386">
        <f>(-2*AB$8)+Q43+V43</f>
        <v>790.9072994999988</v>
      </c>
      <c r="Y43" s="387">
        <f aca="true" t="shared" si="16" ref="Y43:Y63">X43+Y42</f>
        <v>4724.852762243115</v>
      </c>
      <c r="Z43" s="405" t="s">
        <v>187</v>
      </c>
      <c r="AA43" s="406"/>
      <c r="AB43" s="406"/>
      <c r="AC43" s="379">
        <v>0.12</v>
      </c>
      <c r="AD43" s="380">
        <v>0.12</v>
      </c>
      <c r="AG43" s="308"/>
      <c r="AH43" s="308"/>
    </row>
    <row r="44" spans="1:34" ht="25.5" customHeight="1">
      <c r="A44" s="368">
        <f t="shared" si="0"/>
      </c>
      <c r="B44" s="369">
        <v>2019</v>
      </c>
      <c r="C44" s="381">
        <f aca="true" t="shared" si="17" ref="C44:C63">Q17-C17</f>
        <v>-9</v>
      </c>
      <c r="D44" s="381">
        <f t="shared" si="1"/>
        <v>-9</v>
      </c>
      <c r="E44" s="381">
        <f t="shared" si="2"/>
        <v>-9</v>
      </c>
      <c r="F44" s="381">
        <f t="shared" si="3"/>
        <v>-9</v>
      </c>
      <c r="G44" s="381">
        <f t="shared" si="4"/>
        <v>-9</v>
      </c>
      <c r="H44" s="381">
        <f t="shared" si="5"/>
        <v>-9</v>
      </c>
      <c r="I44" s="381">
        <f t="shared" si="12"/>
        <v>-9</v>
      </c>
      <c r="J44" s="381">
        <f t="shared" si="6"/>
        <v>-9</v>
      </c>
      <c r="K44" s="381">
        <f t="shared" si="7"/>
        <v>-9</v>
      </c>
      <c r="L44" s="381">
        <f t="shared" si="8"/>
        <v>-9</v>
      </c>
      <c r="M44" s="381">
        <f t="shared" si="9"/>
        <v>-9</v>
      </c>
      <c r="N44" s="382">
        <f t="shared" si="10"/>
        <v>-9</v>
      </c>
      <c r="O44" s="383">
        <f t="shared" si="11"/>
        <v>-108</v>
      </c>
      <c r="P44" s="384">
        <f t="shared" si="13"/>
        <v>-95</v>
      </c>
      <c r="Q44" s="386">
        <f aca="true" t="shared" si="18" ref="Q44:Q63">O44*$AB$8/12</f>
        <v>-506.0907</v>
      </c>
      <c r="R44" s="384">
        <f t="shared" si="14"/>
        <v>-448.15685927714037</v>
      </c>
      <c r="T44" s="376">
        <f aca="true" t="shared" si="19" ref="T44:T63">$AD$47*($AB$8/12)*(SUM(C17:N17))</f>
        <v>16321.425075</v>
      </c>
      <c r="U44" s="388">
        <f aca="true" t="shared" si="20" ref="U44:U63">$AC$47*($AB$8/12)*(SUM(Q17:AB17))</f>
        <v>17730.887674499998</v>
      </c>
      <c r="V44" s="385">
        <f t="shared" si="15"/>
        <v>1409.4625994999988</v>
      </c>
      <c r="X44" s="386">
        <f aca="true" t="shared" si="21" ref="X44:X63">(-2*AB$8)+Q44+V44</f>
        <v>790.9072994999988</v>
      </c>
      <c r="Y44" s="387">
        <f t="shared" si="16"/>
        <v>5515.7600617431135</v>
      </c>
      <c r="Z44" s="405" t="s">
        <v>193</v>
      </c>
      <c r="AA44" s="406"/>
      <c r="AB44" s="406"/>
      <c r="AC44" s="379">
        <v>0.105</v>
      </c>
      <c r="AD44" s="380">
        <v>0.105</v>
      </c>
      <c r="AG44" s="308"/>
      <c r="AH44" s="308"/>
    </row>
    <row r="45" spans="1:34" ht="25.5" customHeight="1">
      <c r="A45" s="368">
        <f t="shared" si="0"/>
      </c>
      <c r="B45" s="369">
        <v>2020</v>
      </c>
      <c r="C45" s="381">
        <f t="shared" si="17"/>
        <v>-9</v>
      </c>
      <c r="D45" s="381">
        <f t="shared" si="1"/>
        <v>-9</v>
      </c>
      <c r="E45" s="381">
        <f t="shared" si="2"/>
        <v>7</v>
      </c>
      <c r="F45" s="381">
        <f t="shared" si="3"/>
        <v>7</v>
      </c>
      <c r="G45" s="381">
        <f t="shared" si="4"/>
        <v>7</v>
      </c>
      <c r="H45" s="381">
        <f t="shared" si="5"/>
        <v>7</v>
      </c>
      <c r="I45" s="381">
        <f t="shared" si="12"/>
        <v>7</v>
      </c>
      <c r="J45" s="381">
        <f t="shared" si="6"/>
        <v>7</v>
      </c>
      <c r="K45" s="381">
        <f t="shared" si="7"/>
        <v>-16</v>
      </c>
      <c r="L45" s="381">
        <f t="shared" si="8"/>
        <v>-16</v>
      </c>
      <c r="M45" s="381">
        <f t="shared" si="9"/>
        <v>-16</v>
      </c>
      <c r="N45" s="382">
        <f t="shared" si="10"/>
        <v>-16</v>
      </c>
      <c r="O45" s="383">
        <f t="shared" si="11"/>
        <v>-40</v>
      </c>
      <c r="P45" s="384">
        <f t="shared" si="13"/>
        <v>-135</v>
      </c>
      <c r="Q45" s="386">
        <f t="shared" si="18"/>
        <v>-187.441</v>
      </c>
      <c r="R45" s="384">
        <f t="shared" si="14"/>
        <v>-635.5978592771404</v>
      </c>
      <c r="T45" s="376">
        <f t="shared" si="19"/>
        <v>16599.4937985</v>
      </c>
      <c r="U45" s="388">
        <f t="shared" si="20"/>
        <v>18266.9689345</v>
      </c>
      <c r="V45" s="385">
        <f t="shared" si="15"/>
        <v>1667.475136000001</v>
      </c>
      <c r="X45" s="386">
        <f t="shared" si="21"/>
        <v>1367.5695360000009</v>
      </c>
      <c r="Y45" s="387">
        <f t="shared" si="16"/>
        <v>6883.329597743114</v>
      </c>
      <c r="Z45" s="405" t="s">
        <v>192</v>
      </c>
      <c r="AA45" s="406"/>
      <c r="AB45" s="406"/>
      <c r="AC45" s="379">
        <v>0.1</v>
      </c>
      <c r="AD45" s="380">
        <v>0.1</v>
      </c>
      <c r="AG45" s="308"/>
      <c r="AH45" s="308"/>
    </row>
    <row r="46" spans="1:34" ht="25.5" customHeight="1">
      <c r="A46" s="368">
        <f t="shared" si="0"/>
      </c>
      <c r="B46" s="369">
        <v>2021</v>
      </c>
      <c r="C46" s="381">
        <f t="shared" si="17"/>
        <v>-16</v>
      </c>
      <c r="D46" s="381">
        <f t="shared" si="1"/>
        <v>-16</v>
      </c>
      <c r="E46" s="381">
        <f t="shared" si="2"/>
        <v>-16</v>
      </c>
      <c r="F46" s="381">
        <f t="shared" si="3"/>
        <v>-16</v>
      </c>
      <c r="G46" s="381">
        <f t="shared" si="4"/>
        <v>-16</v>
      </c>
      <c r="H46" s="381">
        <f t="shared" si="5"/>
        <v>-16</v>
      </c>
      <c r="I46" s="381">
        <f t="shared" si="12"/>
        <v>-16</v>
      </c>
      <c r="J46" s="381">
        <f t="shared" si="6"/>
        <v>-16</v>
      </c>
      <c r="K46" s="381">
        <f t="shared" si="7"/>
        <v>-16</v>
      </c>
      <c r="L46" s="381">
        <f t="shared" si="8"/>
        <v>-16</v>
      </c>
      <c r="M46" s="381">
        <f t="shared" si="9"/>
        <v>-16</v>
      </c>
      <c r="N46" s="382">
        <f t="shared" si="10"/>
        <v>-16</v>
      </c>
      <c r="O46" s="383">
        <f t="shared" si="11"/>
        <v>-192</v>
      </c>
      <c r="P46" s="384">
        <f t="shared" si="13"/>
        <v>-327</v>
      </c>
      <c r="Q46" s="386">
        <f t="shared" si="18"/>
        <v>-899.7168</v>
      </c>
      <c r="R46" s="384">
        <f t="shared" si="14"/>
        <v>-1535.3146592771404</v>
      </c>
      <c r="T46" s="376">
        <f t="shared" si="19"/>
        <v>17155.6312455</v>
      </c>
      <c r="U46" s="388">
        <f t="shared" si="20"/>
        <v>18374.1851865</v>
      </c>
      <c r="V46" s="385">
        <f t="shared" si="15"/>
        <v>1218.5539409999983</v>
      </c>
      <c r="X46" s="386">
        <f t="shared" si="21"/>
        <v>206.37254099999825</v>
      </c>
      <c r="Y46" s="387">
        <f t="shared" si="16"/>
        <v>7089.702138743112</v>
      </c>
      <c r="Z46" s="405" t="s">
        <v>195</v>
      </c>
      <c r="AA46" s="406"/>
      <c r="AB46" s="406"/>
      <c r="AC46" s="379">
        <v>0</v>
      </c>
      <c r="AD46" s="380">
        <v>0</v>
      </c>
      <c r="AG46" s="308"/>
      <c r="AH46" s="308"/>
    </row>
    <row r="47" spans="1:34" ht="25.5" customHeight="1" thickBot="1">
      <c r="A47" s="368">
        <f t="shared" si="0"/>
      </c>
      <c r="B47" s="369">
        <v>2022</v>
      </c>
      <c r="C47" s="381">
        <f t="shared" si="17"/>
        <v>-16</v>
      </c>
      <c r="D47" s="381">
        <f t="shared" si="1"/>
        <v>-16</v>
      </c>
      <c r="E47" s="381">
        <f t="shared" si="2"/>
        <v>-16</v>
      </c>
      <c r="F47" s="381">
        <f t="shared" si="3"/>
        <v>-16</v>
      </c>
      <c r="G47" s="381">
        <f t="shared" si="4"/>
        <v>-16</v>
      </c>
      <c r="H47" s="381">
        <f t="shared" si="5"/>
        <v>-16</v>
      </c>
      <c r="I47" s="381">
        <f t="shared" si="12"/>
        <v>-16</v>
      </c>
      <c r="J47" s="381">
        <f t="shared" si="6"/>
        <v>-16</v>
      </c>
      <c r="K47" s="381">
        <f t="shared" si="7"/>
        <v>-16</v>
      </c>
      <c r="L47" s="381">
        <f t="shared" si="8"/>
        <v>-16</v>
      </c>
      <c r="M47" s="381">
        <f t="shared" si="9"/>
        <v>-16</v>
      </c>
      <c r="N47" s="382">
        <f t="shared" si="10"/>
        <v>-16</v>
      </c>
      <c r="O47" s="383">
        <f t="shared" si="11"/>
        <v>-192</v>
      </c>
      <c r="P47" s="384">
        <f t="shared" si="13"/>
        <v>-519</v>
      </c>
      <c r="Q47" s="386">
        <f t="shared" si="18"/>
        <v>-899.7168</v>
      </c>
      <c r="R47" s="384">
        <f t="shared" si="14"/>
        <v>-2435.0314592771406</v>
      </c>
      <c r="T47" s="376">
        <f t="shared" si="19"/>
        <v>17155.6312455</v>
      </c>
      <c r="U47" s="388">
        <f t="shared" si="20"/>
        <v>18374.1851865</v>
      </c>
      <c r="V47" s="385">
        <f t="shared" si="15"/>
        <v>1218.5539409999983</v>
      </c>
      <c r="X47" s="386">
        <f t="shared" si="21"/>
        <v>206.37254099999825</v>
      </c>
      <c r="Y47" s="387">
        <f t="shared" si="16"/>
        <v>7296.07467974311</v>
      </c>
      <c r="Z47" s="407" t="s">
        <v>190</v>
      </c>
      <c r="AA47" s="408"/>
      <c r="AB47" s="408"/>
      <c r="AC47" s="389">
        <f>SUM(AC41:AC46)</f>
        <v>0.715</v>
      </c>
      <c r="AD47" s="390">
        <f>SUM(AD41:AD46)</f>
        <v>0.645</v>
      </c>
      <c r="AG47" s="308"/>
      <c r="AH47" s="308"/>
    </row>
    <row r="48" spans="1:30" ht="25.5" customHeight="1">
      <c r="A48" s="368">
        <f t="shared" si="0"/>
      </c>
      <c r="B48" s="369">
        <v>2023</v>
      </c>
      <c r="C48" s="381">
        <f t="shared" si="17"/>
        <v>-16</v>
      </c>
      <c r="D48" s="381">
        <f t="shared" si="1"/>
        <v>-16</v>
      </c>
      <c r="E48" s="381">
        <f t="shared" si="2"/>
        <v>4</v>
      </c>
      <c r="F48" s="381">
        <f t="shared" si="3"/>
        <v>4</v>
      </c>
      <c r="G48" s="381">
        <f t="shared" si="4"/>
        <v>4</v>
      </c>
      <c r="H48" s="381">
        <f t="shared" si="5"/>
        <v>4</v>
      </c>
      <c r="I48" s="381">
        <f t="shared" si="12"/>
        <v>4</v>
      </c>
      <c r="J48" s="381">
        <f t="shared" si="6"/>
        <v>4</v>
      </c>
      <c r="K48" s="381">
        <f t="shared" si="7"/>
        <v>4</v>
      </c>
      <c r="L48" s="381">
        <f t="shared" si="8"/>
        <v>4</v>
      </c>
      <c r="M48" s="381">
        <f t="shared" si="9"/>
        <v>4</v>
      </c>
      <c r="N48" s="382">
        <f t="shared" si="10"/>
        <v>4</v>
      </c>
      <c r="O48" s="383">
        <f t="shared" si="11"/>
        <v>8</v>
      </c>
      <c r="P48" s="384">
        <f t="shared" si="13"/>
        <v>-511</v>
      </c>
      <c r="Q48" s="386">
        <f t="shared" si="18"/>
        <v>37.4882</v>
      </c>
      <c r="R48" s="384">
        <f t="shared" si="14"/>
        <v>-2397.543259277141</v>
      </c>
      <c r="T48" s="376">
        <f t="shared" si="19"/>
        <v>17155.6312455</v>
      </c>
      <c r="U48" s="388">
        <f t="shared" si="20"/>
        <v>19044.2867615</v>
      </c>
      <c r="V48" s="385">
        <f t="shared" si="15"/>
        <v>1888.655515999999</v>
      </c>
      <c r="X48" s="386">
        <f t="shared" si="21"/>
        <v>1813.6791159999989</v>
      </c>
      <c r="Y48" s="391">
        <f t="shared" si="16"/>
        <v>9109.753795743109</v>
      </c>
      <c r="Z48" s="419" t="s">
        <v>196</v>
      </c>
      <c r="AA48" s="420"/>
      <c r="AB48" s="420"/>
      <c r="AC48" s="420"/>
      <c r="AD48" s="420"/>
    </row>
    <row r="49" spans="1:30" ht="25.5" customHeight="1">
      <c r="A49" s="368">
        <f t="shared" si="0"/>
      </c>
      <c r="B49" s="369">
        <v>2024</v>
      </c>
      <c r="C49" s="381">
        <f t="shared" si="17"/>
        <v>4</v>
      </c>
      <c r="D49" s="381">
        <f t="shared" si="1"/>
        <v>4</v>
      </c>
      <c r="E49" s="381">
        <f t="shared" si="2"/>
        <v>4</v>
      </c>
      <c r="F49" s="381">
        <f t="shared" si="3"/>
        <v>4</v>
      </c>
      <c r="G49" s="381">
        <f t="shared" si="4"/>
        <v>4</v>
      </c>
      <c r="H49" s="381">
        <f t="shared" si="5"/>
        <v>4</v>
      </c>
      <c r="I49" s="381">
        <f t="shared" si="12"/>
        <v>4</v>
      </c>
      <c r="J49" s="381">
        <f t="shared" si="6"/>
        <v>4</v>
      </c>
      <c r="K49" s="381">
        <f t="shared" si="7"/>
        <v>4</v>
      </c>
      <c r="L49" s="381">
        <f t="shared" si="8"/>
        <v>4</v>
      </c>
      <c r="M49" s="381">
        <f t="shared" si="9"/>
        <v>4</v>
      </c>
      <c r="N49" s="382">
        <f t="shared" si="10"/>
        <v>4</v>
      </c>
      <c r="O49" s="383">
        <f t="shared" si="11"/>
        <v>48</v>
      </c>
      <c r="P49" s="384">
        <f t="shared" si="13"/>
        <v>-463</v>
      </c>
      <c r="Q49" s="386">
        <f t="shared" si="18"/>
        <v>224.9292</v>
      </c>
      <c r="R49" s="384">
        <f t="shared" si="14"/>
        <v>-2172.6140592771408</v>
      </c>
      <c r="T49" s="376">
        <f t="shared" si="19"/>
        <v>17155.6312455</v>
      </c>
      <c r="U49" s="388">
        <f t="shared" si="20"/>
        <v>19178.3070765</v>
      </c>
      <c r="V49" s="385">
        <f t="shared" si="15"/>
        <v>2022.6758310000005</v>
      </c>
      <c r="X49" s="386">
        <f t="shared" si="21"/>
        <v>2135.1404310000003</v>
      </c>
      <c r="Y49" s="391">
        <f t="shared" si="16"/>
        <v>11244.894226743108</v>
      </c>
      <c r="Z49" s="421"/>
      <c r="AA49" s="422"/>
      <c r="AB49" s="422"/>
      <c r="AC49" s="422"/>
      <c r="AD49" s="422"/>
    </row>
    <row r="50" spans="1:30" ht="25.5" customHeight="1">
      <c r="A50" s="368">
        <f t="shared" si="0"/>
      </c>
      <c r="B50" s="369">
        <v>2025</v>
      </c>
      <c r="C50" s="381">
        <f t="shared" si="17"/>
        <v>4</v>
      </c>
      <c r="D50" s="381">
        <f t="shared" si="1"/>
        <v>4</v>
      </c>
      <c r="E50" s="381">
        <f t="shared" si="2"/>
        <v>4</v>
      </c>
      <c r="F50" s="381">
        <f t="shared" si="3"/>
        <v>4</v>
      </c>
      <c r="G50" s="381">
        <f t="shared" si="4"/>
        <v>4</v>
      </c>
      <c r="H50" s="381">
        <f t="shared" si="5"/>
        <v>4</v>
      </c>
      <c r="I50" s="381">
        <f t="shared" si="12"/>
        <v>4</v>
      </c>
      <c r="J50" s="381">
        <f t="shared" si="6"/>
        <v>4</v>
      </c>
      <c r="K50" s="381">
        <f t="shared" si="7"/>
        <v>4</v>
      </c>
      <c r="L50" s="381">
        <f t="shared" si="8"/>
        <v>4</v>
      </c>
      <c r="M50" s="381">
        <f t="shared" si="9"/>
        <v>4</v>
      </c>
      <c r="N50" s="382">
        <f t="shared" si="10"/>
        <v>4</v>
      </c>
      <c r="O50" s="383">
        <f t="shared" si="11"/>
        <v>48</v>
      </c>
      <c r="P50" s="384">
        <f t="shared" si="13"/>
        <v>-415</v>
      </c>
      <c r="Q50" s="386">
        <f t="shared" si="18"/>
        <v>224.9292</v>
      </c>
      <c r="R50" s="384">
        <f t="shared" si="14"/>
        <v>-1947.6848592771407</v>
      </c>
      <c r="T50" s="376">
        <f t="shared" si="19"/>
        <v>17155.6312455</v>
      </c>
      <c r="U50" s="388">
        <f t="shared" si="20"/>
        <v>19178.3070765</v>
      </c>
      <c r="V50" s="385">
        <f t="shared" si="15"/>
        <v>2022.6758310000005</v>
      </c>
      <c r="X50" s="386">
        <f t="shared" si="21"/>
        <v>2135.1404310000003</v>
      </c>
      <c r="Y50" s="391">
        <f t="shared" si="16"/>
        <v>13380.034657743108</v>
      </c>
      <c r="Z50" s="421"/>
      <c r="AA50" s="422"/>
      <c r="AB50" s="422"/>
      <c r="AC50" s="422"/>
      <c r="AD50" s="422"/>
    </row>
    <row r="51" spans="1:28" ht="25.5" customHeight="1">
      <c r="A51" s="368">
        <f t="shared" si="0"/>
      </c>
      <c r="B51" s="369">
        <v>2026</v>
      </c>
      <c r="C51" s="381">
        <f t="shared" si="17"/>
        <v>4</v>
      </c>
      <c r="D51" s="381">
        <f t="shared" si="1"/>
        <v>4</v>
      </c>
      <c r="E51" s="381">
        <f t="shared" si="2"/>
        <v>4</v>
      </c>
      <c r="F51" s="381">
        <f t="shared" si="3"/>
        <v>4</v>
      </c>
      <c r="G51" s="381">
        <f t="shared" si="4"/>
        <v>4</v>
      </c>
      <c r="H51" s="381">
        <f t="shared" si="5"/>
        <v>4</v>
      </c>
      <c r="I51" s="381">
        <f t="shared" si="12"/>
        <v>4</v>
      </c>
      <c r="J51" s="381">
        <f t="shared" si="6"/>
        <v>4</v>
      </c>
      <c r="K51" s="381">
        <f t="shared" si="7"/>
        <v>4</v>
      </c>
      <c r="L51" s="381">
        <f t="shared" si="8"/>
        <v>4</v>
      </c>
      <c r="M51" s="381">
        <f t="shared" si="9"/>
        <v>4</v>
      </c>
      <c r="N51" s="382">
        <f t="shared" si="10"/>
        <v>4</v>
      </c>
      <c r="O51" s="383">
        <f t="shared" si="11"/>
        <v>48</v>
      </c>
      <c r="P51" s="384">
        <f t="shared" si="13"/>
        <v>-367</v>
      </c>
      <c r="Q51" s="386">
        <f t="shared" si="18"/>
        <v>224.9292</v>
      </c>
      <c r="R51" s="384">
        <f t="shared" si="14"/>
        <v>-1722.7556592771407</v>
      </c>
      <c r="T51" s="376">
        <f t="shared" si="19"/>
        <v>17155.6312455</v>
      </c>
      <c r="U51" s="388">
        <f t="shared" si="20"/>
        <v>19178.3070765</v>
      </c>
      <c r="V51" s="385">
        <f t="shared" si="15"/>
        <v>2022.6758310000005</v>
      </c>
      <c r="X51" s="386">
        <f t="shared" si="21"/>
        <v>2135.1404310000003</v>
      </c>
      <c r="Y51" s="391">
        <f t="shared" si="16"/>
        <v>15515.175088743108</v>
      </c>
      <c r="Z51" s="353"/>
      <c r="AA51" s="309"/>
      <c r="AB51" s="309"/>
    </row>
    <row r="52" spans="1:28" ht="25.5" customHeight="1">
      <c r="A52" s="368">
        <f>IF(Y52&lt;0,"GAIN DE PROMO NEGATIF (indiciaire + indemnitaire) en cumulé","")</f>
      </c>
      <c r="B52" s="369">
        <v>2027</v>
      </c>
      <c r="C52" s="381">
        <f t="shared" si="17"/>
        <v>4</v>
      </c>
      <c r="D52" s="381">
        <f t="shared" si="1"/>
        <v>4</v>
      </c>
      <c r="E52" s="381">
        <f t="shared" si="2"/>
        <v>30</v>
      </c>
      <c r="F52" s="381">
        <f t="shared" si="3"/>
        <v>30</v>
      </c>
      <c r="G52" s="381">
        <f t="shared" si="4"/>
        <v>30</v>
      </c>
      <c r="H52" s="381">
        <f t="shared" si="5"/>
        <v>30</v>
      </c>
      <c r="I52" s="381">
        <f t="shared" si="12"/>
        <v>30</v>
      </c>
      <c r="J52" s="381">
        <f t="shared" si="6"/>
        <v>30</v>
      </c>
      <c r="K52" s="381">
        <f t="shared" si="7"/>
        <v>30</v>
      </c>
      <c r="L52" s="381">
        <f t="shared" si="8"/>
        <v>30</v>
      </c>
      <c r="M52" s="381">
        <f t="shared" si="9"/>
        <v>30</v>
      </c>
      <c r="N52" s="382">
        <f t="shared" si="10"/>
        <v>30</v>
      </c>
      <c r="O52" s="383">
        <f t="shared" si="11"/>
        <v>308</v>
      </c>
      <c r="P52" s="384">
        <f t="shared" si="13"/>
        <v>-59</v>
      </c>
      <c r="Q52" s="386">
        <f t="shared" si="18"/>
        <v>1443.2957</v>
      </c>
      <c r="R52" s="384">
        <f t="shared" si="14"/>
        <v>-279.4599592771408</v>
      </c>
      <c r="T52" s="376">
        <f t="shared" si="19"/>
        <v>17155.6312455</v>
      </c>
      <c r="U52" s="388">
        <f t="shared" si="20"/>
        <v>20049.439124</v>
      </c>
      <c r="V52" s="385">
        <f t="shared" si="15"/>
        <v>2893.8078785</v>
      </c>
      <c r="X52" s="386">
        <f t="shared" si="21"/>
        <v>4224.638978499999</v>
      </c>
      <c r="Y52" s="391">
        <f t="shared" si="16"/>
        <v>19739.814067243107</v>
      </c>
      <c r="Z52" s="353"/>
      <c r="AA52" s="309"/>
      <c r="AB52" s="309"/>
    </row>
    <row r="53" spans="1:28" ht="25.5" customHeight="1">
      <c r="A53" s="368">
        <f aca="true" t="shared" si="22" ref="A53:A63">IF(Y53&lt;0,"GAIN DE PROMO NEGATIF (indiciaire + indemnitaire) en cumulé","")</f>
      </c>
      <c r="B53" s="369">
        <v>2028</v>
      </c>
      <c r="C53" s="381">
        <f t="shared" si="17"/>
        <v>30</v>
      </c>
      <c r="D53" s="381">
        <f t="shared" si="1"/>
        <v>30</v>
      </c>
      <c r="E53" s="381">
        <f t="shared" si="2"/>
        <v>30</v>
      </c>
      <c r="F53" s="381">
        <f t="shared" si="3"/>
        <v>30</v>
      </c>
      <c r="G53" s="381">
        <f t="shared" si="4"/>
        <v>30</v>
      </c>
      <c r="H53" s="381">
        <f t="shared" si="5"/>
        <v>30</v>
      </c>
      <c r="I53" s="381">
        <f t="shared" si="12"/>
        <v>30</v>
      </c>
      <c r="J53" s="381">
        <f t="shared" si="6"/>
        <v>30</v>
      </c>
      <c r="K53" s="381">
        <f t="shared" si="7"/>
        <v>30</v>
      </c>
      <c r="L53" s="381">
        <f t="shared" si="8"/>
        <v>30</v>
      </c>
      <c r="M53" s="381">
        <f t="shared" si="9"/>
        <v>30</v>
      </c>
      <c r="N53" s="382">
        <f t="shared" si="10"/>
        <v>30</v>
      </c>
      <c r="O53" s="383">
        <f t="shared" si="11"/>
        <v>360</v>
      </c>
      <c r="P53" s="384">
        <f t="shared" si="13"/>
        <v>301</v>
      </c>
      <c r="Q53" s="386">
        <f t="shared" si="18"/>
        <v>1686.969</v>
      </c>
      <c r="R53" s="384">
        <f t="shared" si="14"/>
        <v>1407.5090407228593</v>
      </c>
      <c r="T53" s="376">
        <f t="shared" si="19"/>
        <v>17155.6312455</v>
      </c>
      <c r="U53" s="388">
        <f t="shared" si="20"/>
        <v>20223.6655335</v>
      </c>
      <c r="V53" s="385">
        <f t="shared" si="15"/>
        <v>3068.034287999999</v>
      </c>
      <c r="X53" s="386">
        <f t="shared" si="21"/>
        <v>4642.538687999999</v>
      </c>
      <c r="Y53" s="391">
        <f t="shared" si="16"/>
        <v>24382.352755243104</v>
      </c>
      <c r="Z53" s="353"/>
      <c r="AA53" s="309"/>
      <c r="AB53" s="309"/>
    </row>
    <row r="54" spans="1:28" ht="25.5" customHeight="1">
      <c r="A54" s="368">
        <f t="shared" si="22"/>
      </c>
      <c r="B54" s="369">
        <v>2029</v>
      </c>
      <c r="C54" s="381">
        <f t="shared" si="17"/>
        <v>30</v>
      </c>
      <c r="D54" s="381">
        <f t="shared" si="1"/>
        <v>30</v>
      </c>
      <c r="E54" s="381">
        <f t="shared" si="2"/>
        <v>30</v>
      </c>
      <c r="F54" s="381">
        <f t="shared" si="3"/>
        <v>30</v>
      </c>
      <c r="G54" s="381">
        <f t="shared" si="4"/>
        <v>30</v>
      </c>
      <c r="H54" s="381">
        <f t="shared" si="5"/>
        <v>30</v>
      </c>
      <c r="I54" s="381">
        <f t="shared" si="12"/>
        <v>30</v>
      </c>
      <c r="J54" s="381">
        <f t="shared" si="6"/>
        <v>30</v>
      </c>
      <c r="K54" s="381">
        <f t="shared" si="7"/>
        <v>30</v>
      </c>
      <c r="L54" s="381">
        <f t="shared" si="8"/>
        <v>30</v>
      </c>
      <c r="M54" s="381">
        <f t="shared" si="9"/>
        <v>30</v>
      </c>
      <c r="N54" s="382">
        <f t="shared" si="10"/>
        <v>30</v>
      </c>
      <c r="O54" s="383">
        <f t="shared" si="11"/>
        <v>360</v>
      </c>
      <c r="P54" s="384">
        <f t="shared" si="13"/>
        <v>661</v>
      </c>
      <c r="Q54" s="386">
        <f t="shared" si="18"/>
        <v>1686.969</v>
      </c>
      <c r="R54" s="384">
        <f t="shared" si="14"/>
        <v>3094.478040722859</v>
      </c>
      <c r="T54" s="376">
        <f t="shared" si="19"/>
        <v>17155.6312455</v>
      </c>
      <c r="U54" s="388">
        <f t="shared" si="20"/>
        <v>20223.6655335</v>
      </c>
      <c r="V54" s="385">
        <f t="shared" si="15"/>
        <v>3068.034287999999</v>
      </c>
      <c r="X54" s="386">
        <f t="shared" si="21"/>
        <v>4642.538687999999</v>
      </c>
      <c r="Y54" s="391">
        <f t="shared" si="16"/>
        <v>29024.891443243105</v>
      </c>
      <c r="Z54" s="353"/>
      <c r="AA54" s="309"/>
      <c r="AB54" s="309"/>
    </row>
    <row r="55" spans="1:28" ht="25.5" customHeight="1">
      <c r="A55" s="368">
        <f t="shared" si="22"/>
      </c>
      <c r="B55" s="369">
        <v>2030</v>
      </c>
      <c r="C55" s="381">
        <f t="shared" si="17"/>
        <v>30</v>
      </c>
      <c r="D55" s="381">
        <f t="shared" si="1"/>
        <v>30</v>
      </c>
      <c r="E55" s="381">
        <f t="shared" si="2"/>
        <v>30</v>
      </c>
      <c r="F55" s="381">
        <f t="shared" si="3"/>
        <v>30</v>
      </c>
      <c r="G55" s="381">
        <f t="shared" si="4"/>
        <v>30</v>
      </c>
      <c r="H55" s="381">
        <f t="shared" si="5"/>
        <v>30</v>
      </c>
      <c r="I55" s="381">
        <f t="shared" si="12"/>
        <v>30</v>
      </c>
      <c r="J55" s="381">
        <f t="shared" si="6"/>
        <v>30</v>
      </c>
      <c r="K55" s="381">
        <f t="shared" si="7"/>
        <v>30</v>
      </c>
      <c r="L55" s="381">
        <f t="shared" si="8"/>
        <v>30</v>
      </c>
      <c r="M55" s="381">
        <f t="shared" si="9"/>
        <v>30</v>
      </c>
      <c r="N55" s="382">
        <f t="shared" si="10"/>
        <v>30</v>
      </c>
      <c r="O55" s="383">
        <f t="shared" si="11"/>
        <v>360</v>
      </c>
      <c r="P55" s="384">
        <f t="shared" si="13"/>
        <v>1021</v>
      </c>
      <c r="Q55" s="386">
        <f t="shared" si="18"/>
        <v>1686.969</v>
      </c>
      <c r="R55" s="384">
        <f t="shared" si="14"/>
        <v>4781.447040722859</v>
      </c>
      <c r="T55" s="376">
        <f t="shared" si="19"/>
        <v>17155.6312455</v>
      </c>
      <c r="U55" s="388">
        <f t="shared" si="20"/>
        <v>20223.6655335</v>
      </c>
      <c r="V55" s="385">
        <f t="shared" si="15"/>
        <v>3068.034287999999</v>
      </c>
      <c r="X55" s="386">
        <f t="shared" si="21"/>
        <v>4642.538687999999</v>
      </c>
      <c r="Y55" s="391">
        <f t="shared" si="16"/>
        <v>33667.430131243105</v>
      </c>
      <c r="Z55" s="353"/>
      <c r="AA55" s="309"/>
      <c r="AB55" s="309"/>
    </row>
    <row r="56" spans="1:35" ht="25.5" customHeight="1">
      <c r="A56" s="368">
        <f t="shared" si="22"/>
      </c>
      <c r="B56" s="369">
        <v>2031</v>
      </c>
      <c r="C56" s="381">
        <f t="shared" si="17"/>
        <v>30</v>
      </c>
      <c r="D56" s="381">
        <f t="shared" si="1"/>
        <v>30</v>
      </c>
      <c r="E56" s="381">
        <f t="shared" si="2"/>
        <v>30</v>
      </c>
      <c r="F56" s="381">
        <f t="shared" si="3"/>
        <v>30</v>
      </c>
      <c r="G56" s="381">
        <f t="shared" si="4"/>
        <v>30</v>
      </c>
      <c r="H56" s="381">
        <f t="shared" si="5"/>
        <v>30</v>
      </c>
      <c r="I56" s="381">
        <f t="shared" si="12"/>
        <v>30</v>
      </c>
      <c r="J56" s="381">
        <f t="shared" si="6"/>
        <v>30</v>
      </c>
      <c r="K56" s="381">
        <f t="shared" si="7"/>
        <v>30</v>
      </c>
      <c r="L56" s="381">
        <f t="shared" si="8"/>
        <v>30</v>
      </c>
      <c r="M56" s="381">
        <f t="shared" si="9"/>
        <v>30</v>
      </c>
      <c r="N56" s="382">
        <f t="shared" si="10"/>
        <v>30</v>
      </c>
      <c r="O56" s="383">
        <f t="shared" si="11"/>
        <v>360</v>
      </c>
      <c r="P56" s="384">
        <f t="shared" si="13"/>
        <v>1381</v>
      </c>
      <c r="Q56" s="386">
        <f t="shared" si="18"/>
        <v>1686.969</v>
      </c>
      <c r="R56" s="384">
        <f t="shared" si="14"/>
        <v>6468.416040722859</v>
      </c>
      <c r="T56" s="376">
        <f t="shared" si="19"/>
        <v>17155.6312455</v>
      </c>
      <c r="U56" s="388">
        <f t="shared" si="20"/>
        <v>20223.6655335</v>
      </c>
      <c r="V56" s="385">
        <f t="shared" si="15"/>
        <v>3068.034287999999</v>
      </c>
      <c r="X56" s="386">
        <f t="shared" si="21"/>
        <v>4642.538687999999</v>
      </c>
      <c r="Y56" s="391">
        <f t="shared" si="16"/>
        <v>38309.968819243106</v>
      </c>
      <c r="Z56" s="353"/>
      <c r="AA56" s="309"/>
      <c r="AB56" s="309"/>
      <c r="AG56" s="308"/>
      <c r="AH56" s="308"/>
      <c r="AI56" s="308"/>
    </row>
    <row r="57" spans="1:35" ht="25.5" customHeight="1">
      <c r="A57" s="368">
        <f t="shared" si="22"/>
      </c>
      <c r="B57" s="369">
        <v>2032</v>
      </c>
      <c r="C57" s="381">
        <f t="shared" si="17"/>
        <v>30</v>
      </c>
      <c r="D57" s="381">
        <f t="shared" si="1"/>
        <v>30</v>
      </c>
      <c r="E57" s="381">
        <f t="shared" si="2"/>
        <v>30</v>
      </c>
      <c r="F57" s="381">
        <f t="shared" si="3"/>
        <v>30</v>
      </c>
      <c r="G57" s="381">
        <f t="shared" si="4"/>
        <v>30</v>
      </c>
      <c r="H57" s="381">
        <f t="shared" si="5"/>
        <v>30</v>
      </c>
      <c r="I57" s="381">
        <f t="shared" si="12"/>
        <v>30</v>
      </c>
      <c r="J57" s="381">
        <f t="shared" si="6"/>
        <v>30</v>
      </c>
      <c r="K57" s="381">
        <f t="shared" si="7"/>
        <v>30</v>
      </c>
      <c r="L57" s="381">
        <f t="shared" si="8"/>
        <v>30</v>
      </c>
      <c r="M57" s="381">
        <f t="shared" si="9"/>
        <v>30</v>
      </c>
      <c r="N57" s="382">
        <f t="shared" si="10"/>
        <v>30</v>
      </c>
      <c r="O57" s="383">
        <f t="shared" si="11"/>
        <v>360</v>
      </c>
      <c r="P57" s="384">
        <f t="shared" si="13"/>
        <v>1741</v>
      </c>
      <c r="Q57" s="386">
        <f t="shared" si="18"/>
        <v>1686.969</v>
      </c>
      <c r="R57" s="384">
        <f t="shared" si="14"/>
        <v>8155.385040722859</v>
      </c>
      <c r="T57" s="376">
        <f t="shared" si="19"/>
        <v>17155.6312455</v>
      </c>
      <c r="U57" s="388">
        <f t="shared" si="20"/>
        <v>20223.6655335</v>
      </c>
      <c r="V57" s="385">
        <f t="shared" si="15"/>
        <v>3068.034287999999</v>
      </c>
      <c r="X57" s="386">
        <f t="shared" si="21"/>
        <v>4642.538687999999</v>
      </c>
      <c r="Y57" s="391">
        <f t="shared" si="16"/>
        <v>42952.50750724311</v>
      </c>
      <c r="AA57" s="309"/>
      <c r="AB57" s="309"/>
      <c r="AG57" s="308"/>
      <c r="AH57" s="308"/>
      <c r="AI57" s="308"/>
    </row>
    <row r="58" spans="1:35" ht="25.5" customHeight="1">
      <c r="A58" s="368">
        <f t="shared" si="22"/>
      </c>
      <c r="B58" s="369">
        <v>2033</v>
      </c>
      <c r="C58" s="381">
        <f t="shared" si="17"/>
        <v>30</v>
      </c>
      <c r="D58" s="381">
        <f t="shared" si="1"/>
        <v>30</v>
      </c>
      <c r="E58" s="381">
        <f t="shared" si="2"/>
        <v>30</v>
      </c>
      <c r="F58" s="381">
        <f t="shared" si="3"/>
        <v>30</v>
      </c>
      <c r="G58" s="381">
        <f t="shared" si="4"/>
        <v>30</v>
      </c>
      <c r="H58" s="381">
        <f t="shared" si="5"/>
        <v>30</v>
      </c>
      <c r="I58" s="381">
        <f t="shared" si="12"/>
        <v>30</v>
      </c>
      <c r="J58" s="381">
        <f t="shared" si="6"/>
        <v>30</v>
      </c>
      <c r="K58" s="381">
        <f t="shared" si="7"/>
        <v>30</v>
      </c>
      <c r="L58" s="381">
        <f t="shared" si="8"/>
        <v>30</v>
      </c>
      <c r="M58" s="381">
        <f t="shared" si="9"/>
        <v>30</v>
      </c>
      <c r="N58" s="382">
        <f t="shared" si="10"/>
        <v>30</v>
      </c>
      <c r="O58" s="383">
        <f t="shared" si="11"/>
        <v>360</v>
      </c>
      <c r="P58" s="384">
        <f t="shared" si="13"/>
        <v>2101</v>
      </c>
      <c r="Q58" s="386">
        <f t="shared" si="18"/>
        <v>1686.969</v>
      </c>
      <c r="R58" s="384">
        <f t="shared" si="14"/>
        <v>9842.35404072286</v>
      </c>
      <c r="T58" s="376">
        <f t="shared" si="19"/>
        <v>17155.6312455</v>
      </c>
      <c r="U58" s="388">
        <f t="shared" si="20"/>
        <v>20223.6655335</v>
      </c>
      <c r="V58" s="385">
        <f t="shared" si="15"/>
        <v>3068.034287999999</v>
      </c>
      <c r="X58" s="386">
        <f t="shared" si="21"/>
        <v>4642.538687999999</v>
      </c>
      <c r="Y58" s="391">
        <f t="shared" si="16"/>
        <v>47595.04619524311</v>
      </c>
      <c r="Z58" s="353"/>
      <c r="AA58" s="309"/>
      <c r="AB58" s="309"/>
      <c r="AG58" s="308"/>
      <c r="AH58" s="308"/>
      <c r="AI58" s="308"/>
    </row>
    <row r="59" spans="1:35" ht="25.5" customHeight="1">
      <c r="A59" s="368">
        <f t="shared" si="22"/>
      </c>
      <c r="B59" s="369">
        <v>2034</v>
      </c>
      <c r="C59" s="381">
        <f t="shared" si="17"/>
        <v>30</v>
      </c>
      <c r="D59" s="381">
        <f t="shared" si="1"/>
        <v>30</v>
      </c>
      <c r="E59" s="381">
        <f t="shared" si="2"/>
        <v>30</v>
      </c>
      <c r="F59" s="381">
        <f t="shared" si="3"/>
        <v>30</v>
      </c>
      <c r="G59" s="381">
        <f t="shared" si="4"/>
        <v>30</v>
      </c>
      <c r="H59" s="381">
        <f t="shared" si="5"/>
        <v>30</v>
      </c>
      <c r="I59" s="381">
        <f t="shared" si="12"/>
        <v>30</v>
      </c>
      <c r="J59" s="381">
        <f t="shared" si="6"/>
        <v>30</v>
      </c>
      <c r="K59" s="381">
        <f t="shared" si="7"/>
        <v>30</v>
      </c>
      <c r="L59" s="381">
        <f t="shared" si="8"/>
        <v>30</v>
      </c>
      <c r="M59" s="381">
        <f t="shared" si="9"/>
        <v>30</v>
      </c>
      <c r="N59" s="382">
        <f t="shared" si="10"/>
        <v>30</v>
      </c>
      <c r="O59" s="383">
        <f t="shared" si="11"/>
        <v>360</v>
      </c>
      <c r="P59" s="384">
        <f t="shared" si="13"/>
        <v>2461</v>
      </c>
      <c r="Q59" s="386">
        <f t="shared" si="18"/>
        <v>1686.969</v>
      </c>
      <c r="R59" s="384">
        <f t="shared" si="14"/>
        <v>11529.323040722858</v>
      </c>
      <c r="T59" s="376">
        <f t="shared" si="19"/>
        <v>17155.6312455</v>
      </c>
      <c r="U59" s="388">
        <f t="shared" si="20"/>
        <v>20223.6655335</v>
      </c>
      <c r="V59" s="385">
        <f t="shared" si="15"/>
        <v>3068.034287999999</v>
      </c>
      <c r="X59" s="386">
        <f t="shared" si="21"/>
        <v>4642.538687999999</v>
      </c>
      <c r="Y59" s="391">
        <f t="shared" si="16"/>
        <v>52237.58488324311</v>
      </c>
      <c r="Z59" s="353"/>
      <c r="AA59" s="309"/>
      <c r="AB59" s="309"/>
      <c r="AG59" s="308"/>
      <c r="AH59" s="308"/>
      <c r="AI59" s="308"/>
    </row>
    <row r="60" spans="1:35" ht="25.5" customHeight="1">
      <c r="A60" s="368">
        <f t="shared" si="22"/>
      </c>
      <c r="B60" s="369">
        <v>2035</v>
      </c>
      <c r="C60" s="381">
        <f t="shared" si="17"/>
        <v>30</v>
      </c>
      <c r="D60" s="381">
        <f t="shared" si="1"/>
        <v>30</v>
      </c>
      <c r="E60" s="381">
        <f t="shared" si="2"/>
        <v>30</v>
      </c>
      <c r="F60" s="381">
        <f t="shared" si="3"/>
        <v>30</v>
      </c>
      <c r="G60" s="381">
        <f t="shared" si="4"/>
        <v>30</v>
      </c>
      <c r="H60" s="381">
        <f t="shared" si="5"/>
        <v>30</v>
      </c>
      <c r="I60" s="381">
        <f t="shared" si="12"/>
        <v>30</v>
      </c>
      <c r="J60" s="381">
        <f t="shared" si="6"/>
        <v>30</v>
      </c>
      <c r="K60" s="381">
        <f t="shared" si="7"/>
        <v>30</v>
      </c>
      <c r="L60" s="381">
        <f t="shared" si="8"/>
        <v>30</v>
      </c>
      <c r="M60" s="381">
        <f t="shared" si="9"/>
        <v>30</v>
      </c>
      <c r="N60" s="382">
        <f t="shared" si="10"/>
        <v>30</v>
      </c>
      <c r="O60" s="383">
        <f t="shared" si="11"/>
        <v>360</v>
      </c>
      <c r="P60" s="384">
        <f t="shared" si="13"/>
        <v>2821</v>
      </c>
      <c r="Q60" s="386">
        <f t="shared" si="18"/>
        <v>1686.969</v>
      </c>
      <c r="R60" s="384">
        <f t="shared" si="14"/>
        <v>13216.29204072286</v>
      </c>
      <c r="T60" s="376">
        <f t="shared" si="19"/>
        <v>17155.6312455</v>
      </c>
      <c r="U60" s="388">
        <f t="shared" si="20"/>
        <v>20223.6655335</v>
      </c>
      <c r="V60" s="385">
        <f t="shared" si="15"/>
        <v>3068.034287999999</v>
      </c>
      <c r="X60" s="386">
        <f t="shared" si="21"/>
        <v>4642.538687999999</v>
      </c>
      <c r="Y60" s="391">
        <f t="shared" si="16"/>
        <v>56880.12357124311</v>
      </c>
      <c r="Z60" s="353"/>
      <c r="AA60" s="309"/>
      <c r="AB60" s="309"/>
      <c r="AG60" s="308"/>
      <c r="AH60" s="308"/>
      <c r="AI60" s="308"/>
    </row>
    <row r="61" spans="1:35" ht="25.5" customHeight="1">
      <c r="A61" s="368">
        <f t="shared" si="22"/>
      </c>
      <c r="B61" s="369">
        <v>2036</v>
      </c>
      <c r="C61" s="381">
        <f t="shared" si="17"/>
        <v>30</v>
      </c>
      <c r="D61" s="381">
        <f t="shared" si="1"/>
        <v>30</v>
      </c>
      <c r="E61" s="381">
        <f t="shared" si="2"/>
        <v>30</v>
      </c>
      <c r="F61" s="381">
        <f t="shared" si="3"/>
        <v>30</v>
      </c>
      <c r="G61" s="381">
        <f t="shared" si="4"/>
        <v>30</v>
      </c>
      <c r="H61" s="381">
        <f t="shared" si="5"/>
        <v>30</v>
      </c>
      <c r="I61" s="381">
        <f t="shared" si="12"/>
        <v>30</v>
      </c>
      <c r="J61" s="381">
        <f t="shared" si="6"/>
        <v>30</v>
      </c>
      <c r="K61" s="381">
        <f t="shared" si="7"/>
        <v>30</v>
      </c>
      <c r="L61" s="381">
        <f t="shared" si="8"/>
        <v>30</v>
      </c>
      <c r="M61" s="381">
        <f t="shared" si="9"/>
        <v>30</v>
      </c>
      <c r="N61" s="382">
        <f t="shared" si="10"/>
        <v>30</v>
      </c>
      <c r="O61" s="383">
        <f t="shared" si="11"/>
        <v>360</v>
      </c>
      <c r="P61" s="384">
        <f t="shared" si="13"/>
        <v>3181</v>
      </c>
      <c r="Q61" s="386">
        <f t="shared" si="18"/>
        <v>1686.969</v>
      </c>
      <c r="R61" s="384">
        <f t="shared" si="14"/>
        <v>14903.26104072286</v>
      </c>
      <c r="T61" s="376">
        <f t="shared" si="19"/>
        <v>17155.6312455</v>
      </c>
      <c r="U61" s="388">
        <f t="shared" si="20"/>
        <v>20223.6655335</v>
      </c>
      <c r="V61" s="385">
        <f t="shared" si="15"/>
        <v>3068.034287999999</v>
      </c>
      <c r="X61" s="386">
        <f t="shared" si="21"/>
        <v>4642.538687999999</v>
      </c>
      <c r="Y61" s="391">
        <f t="shared" si="16"/>
        <v>61522.66225924311</v>
      </c>
      <c r="Z61" s="353"/>
      <c r="AA61" s="309"/>
      <c r="AB61" s="309"/>
      <c r="AG61" s="308"/>
      <c r="AH61" s="308"/>
      <c r="AI61" s="308"/>
    </row>
    <row r="62" spans="1:35" ht="25.5" customHeight="1">
      <c r="A62" s="368">
        <f t="shared" si="22"/>
      </c>
      <c r="B62" s="369">
        <v>2037</v>
      </c>
      <c r="C62" s="381">
        <f t="shared" si="17"/>
        <v>30</v>
      </c>
      <c r="D62" s="381">
        <f t="shared" si="1"/>
        <v>30</v>
      </c>
      <c r="E62" s="381">
        <f t="shared" si="2"/>
        <v>30</v>
      </c>
      <c r="F62" s="381">
        <f t="shared" si="3"/>
        <v>30</v>
      </c>
      <c r="G62" s="381">
        <f t="shared" si="4"/>
        <v>30</v>
      </c>
      <c r="H62" s="381">
        <f t="shared" si="5"/>
        <v>30</v>
      </c>
      <c r="I62" s="381">
        <f t="shared" si="12"/>
        <v>30</v>
      </c>
      <c r="J62" s="381">
        <f t="shared" si="6"/>
        <v>30</v>
      </c>
      <c r="K62" s="381">
        <f t="shared" si="7"/>
        <v>30</v>
      </c>
      <c r="L62" s="381">
        <f t="shared" si="8"/>
        <v>30</v>
      </c>
      <c r="M62" s="381">
        <f t="shared" si="9"/>
        <v>30</v>
      </c>
      <c r="N62" s="382">
        <f t="shared" si="10"/>
        <v>30</v>
      </c>
      <c r="O62" s="383">
        <f t="shared" si="11"/>
        <v>360</v>
      </c>
      <c r="P62" s="384">
        <f t="shared" si="13"/>
        <v>3541</v>
      </c>
      <c r="Q62" s="386">
        <f t="shared" si="18"/>
        <v>1686.969</v>
      </c>
      <c r="R62" s="384">
        <f t="shared" si="14"/>
        <v>16590.23004072286</v>
      </c>
      <c r="T62" s="376">
        <f t="shared" si="19"/>
        <v>17155.6312455</v>
      </c>
      <c r="U62" s="388">
        <f t="shared" si="20"/>
        <v>20223.6655335</v>
      </c>
      <c r="V62" s="385">
        <f t="shared" si="15"/>
        <v>3068.034287999999</v>
      </c>
      <c r="X62" s="386">
        <f t="shared" si="21"/>
        <v>4642.538687999999</v>
      </c>
      <c r="Y62" s="391">
        <f t="shared" si="16"/>
        <v>66165.20094724311</v>
      </c>
      <c r="Z62" s="353"/>
      <c r="AA62" s="309"/>
      <c r="AB62" s="309"/>
      <c r="AG62" s="308"/>
      <c r="AH62" s="308"/>
      <c r="AI62" s="308"/>
    </row>
    <row r="63" spans="1:35" ht="25.5" customHeight="1" thickBot="1">
      <c r="A63" s="368">
        <f t="shared" si="22"/>
      </c>
      <c r="B63" s="392">
        <v>2038</v>
      </c>
      <c r="C63" s="393">
        <f t="shared" si="17"/>
        <v>30</v>
      </c>
      <c r="D63" s="393">
        <f t="shared" si="1"/>
        <v>30</v>
      </c>
      <c r="E63" s="393">
        <f t="shared" si="2"/>
        <v>30</v>
      </c>
      <c r="F63" s="393">
        <f t="shared" si="3"/>
        <v>30</v>
      </c>
      <c r="G63" s="393">
        <f t="shared" si="4"/>
        <v>30</v>
      </c>
      <c r="H63" s="393">
        <f t="shared" si="5"/>
        <v>30</v>
      </c>
      <c r="I63" s="393">
        <f t="shared" si="12"/>
        <v>30</v>
      </c>
      <c r="J63" s="393">
        <f t="shared" si="6"/>
        <v>30</v>
      </c>
      <c r="K63" s="393">
        <f t="shared" si="7"/>
        <v>30</v>
      </c>
      <c r="L63" s="393">
        <f t="shared" si="8"/>
        <v>30</v>
      </c>
      <c r="M63" s="393">
        <f t="shared" si="9"/>
        <v>30</v>
      </c>
      <c r="N63" s="394">
        <f t="shared" si="10"/>
        <v>30</v>
      </c>
      <c r="O63" s="383">
        <f t="shared" si="11"/>
        <v>360</v>
      </c>
      <c r="P63" s="384">
        <f t="shared" si="13"/>
        <v>3901</v>
      </c>
      <c r="Q63" s="386">
        <f t="shared" si="18"/>
        <v>1686.969</v>
      </c>
      <c r="R63" s="384">
        <f t="shared" si="14"/>
        <v>18277.199040722862</v>
      </c>
      <c r="T63" s="376">
        <f t="shared" si="19"/>
        <v>17155.6312455</v>
      </c>
      <c r="U63" s="388">
        <f t="shared" si="20"/>
        <v>20223.6655335</v>
      </c>
      <c r="V63" s="385">
        <f t="shared" si="15"/>
        <v>3068.034287999999</v>
      </c>
      <c r="X63" s="386">
        <f t="shared" si="21"/>
        <v>4642.538687999999</v>
      </c>
      <c r="Y63" s="391">
        <f t="shared" si="16"/>
        <v>70807.73963524311</v>
      </c>
      <c r="Z63" s="353"/>
      <c r="AA63" s="309"/>
      <c r="AB63" s="309"/>
      <c r="AG63" s="308"/>
      <c r="AH63" s="308"/>
      <c r="AI63" s="308"/>
    </row>
    <row r="64" spans="1:32" s="396" customFormat="1" ht="12.75" customHeight="1">
      <c r="A64" s="423" t="s">
        <v>181</v>
      </c>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395"/>
      <c r="AD64" s="395"/>
      <c r="AE64" s="395"/>
      <c r="AF64" s="395"/>
    </row>
    <row r="65" spans="1:32" ht="12">
      <c r="A65" s="424"/>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395"/>
      <c r="AD65" s="395"/>
      <c r="AE65" s="395"/>
      <c r="AF65" s="395"/>
    </row>
    <row r="66" spans="1:32" ht="12">
      <c r="A66" s="424"/>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395"/>
      <c r="AD66" s="395"/>
      <c r="AE66" s="395"/>
      <c r="AF66" s="395"/>
    </row>
    <row r="67" spans="1:32" ht="12">
      <c r="A67" s="424"/>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395"/>
      <c r="AD67" s="395"/>
      <c r="AE67" s="395"/>
      <c r="AF67" s="395"/>
    </row>
    <row r="68" spans="1:32" ht="12">
      <c r="A68" s="424"/>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395"/>
      <c r="AD68" s="395"/>
      <c r="AE68" s="395"/>
      <c r="AF68" s="395"/>
    </row>
    <row r="69" spans="1:32" ht="12">
      <c r="A69" s="424"/>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395"/>
      <c r="AD69" s="395"/>
      <c r="AE69" s="395"/>
      <c r="AF69" s="395"/>
    </row>
    <row r="70" spans="1:32" ht="12">
      <c r="A70" s="424"/>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395"/>
      <c r="AD70" s="395"/>
      <c r="AE70" s="395"/>
      <c r="AF70" s="395"/>
    </row>
    <row r="71" spans="1:32" ht="12">
      <c r="A71" s="424"/>
      <c r="B71" s="424"/>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395"/>
      <c r="AD71" s="395"/>
      <c r="AE71" s="395"/>
      <c r="AF71" s="395"/>
    </row>
    <row r="72" spans="1:32" ht="12">
      <c r="A72" s="424"/>
      <c r="B72" s="424"/>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395"/>
      <c r="AD72" s="395"/>
      <c r="AE72" s="395"/>
      <c r="AF72" s="395"/>
    </row>
    <row r="73" spans="1:32" ht="12">
      <c r="A73" s="424"/>
      <c r="B73" s="424"/>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395"/>
      <c r="AD73" s="395"/>
      <c r="AE73" s="395"/>
      <c r="AF73" s="395"/>
    </row>
    <row r="74" spans="1:32" ht="12">
      <c r="A74" s="424"/>
      <c r="B74" s="424"/>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395"/>
      <c r="AD74" s="395"/>
      <c r="AE74" s="395"/>
      <c r="AF74" s="395"/>
    </row>
    <row r="75" spans="1:29" ht="12">
      <c r="A75" s="424"/>
      <c r="B75" s="424"/>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395"/>
    </row>
  </sheetData>
  <sheetProtection password="EEF6" sheet="1" objects="1" scenarios="1" selectLockedCells="1"/>
  <mergeCells count="25">
    <mergeCell ref="Z48:AD50"/>
    <mergeCell ref="A64:AB75"/>
    <mergeCell ref="A12:A18"/>
    <mergeCell ref="B38:N39"/>
    <mergeCell ref="O38:P39"/>
    <mergeCell ref="Q38:R39"/>
    <mergeCell ref="X38:Y39"/>
    <mergeCell ref="T38:V39"/>
    <mergeCell ref="B12:N12"/>
    <mergeCell ref="A23:A36"/>
    <mergeCell ref="P12:AB12"/>
    <mergeCell ref="B1:E1"/>
    <mergeCell ref="B2:E2"/>
    <mergeCell ref="A4:D4"/>
    <mergeCell ref="F2:Y10"/>
    <mergeCell ref="Z2:AB4"/>
    <mergeCell ref="Z45:AB45"/>
    <mergeCell ref="Z46:AB46"/>
    <mergeCell ref="Z47:AB47"/>
    <mergeCell ref="Z39:AD39"/>
    <mergeCell ref="Z40:AB40"/>
    <mergeCell ref="Z41:AB41"/>
    <mergeCell ref="Z42:AB42"/>
    <mergeCell ref="Z43:AB43"/>
    <mergeCell ref="Z44:AB44"/>
  </mergeCells>
  <conditionalFormatting sqref="I41:N63">
    <cfRule type="expression" priority="1" dxfId="2" stopIfTrue="1">
      <formula>IF('simulation carrières'!#REF!&lt;0,TRUE,FALSE)</formula>
    </cfRule>
    <cfRule type="expression" priority="2" dxfId="5" stopIfTrue="1">
      <formula>IF('simulation carrières'!#REF!=0,TRUE,FALSE)</formula>
    </cfRule>
    <cfRule type="expression" priority="3" dxfId="4" stopIfTrue="1">
      <formula>IF('simulation carrières'!#REF!&gt;0,TRUE,FALSE)</formula>
    </cfRule>
  </conditionalFormatting>
  <conditionalFormatting sqref="C42:H63">
    <cfRule type="expression" priority="4" dxfId="2" stopIfTrue="1">
      <formula>IF('simulation carrières'!#REF!&lt;0,TRUE,FALSE)</formula>
    </cfRule>
    <cfRule type="expression" priority="5" dxfId="5" stopIfTrue="1">
      <formula>IF('simulation carrières'!#REF!=0,TRUE,FALSE)</formula>
    </cfRule>
    <cfRule type="expression" priority="6" dxfId="4" stopIfTrue="1">
      <formula>IF('simulation carrières'!#REF!,TRUE,FALSE)</formula>
    </cfRule>
  </conditionalFormatting>
  <conditionalFormatting sqref="S41:S63 W41:W63 A41:B63">
    <cfRule type="expression" priority="7" dxfId="3" stopIfTrue="1">
      <formula>IF('simulation carrières'!$Y41&lt;0,TRUE,FALSE)</formula>
    </cfRule>
  </conditionalFormatting>
  <conditionalFormatting sqref="Y41:Y63">
    <cfRule type="cellIs" priority="8" dxfId="2" operator="lessThan" stopIfTrue="1">
      <formula>0</formula>
    </cfRule>
  </conditionalFormatting>
  <conditionalFormatting sqref="O41:O63 Q41:Q63 X41:X63">
    <cfRule type="cellIs" priority="9" dxfId="1" operator="lessThan" stopIfTrue="1">
      <formula>0</formula>
    </cfRule>
  </conditionalFormatting>
  <conditionalFormatting sqref="P41:P63 R41:R63">
    <cfRule type="cellIs" priority="10" dxfId="0" operator="lessThan" stopIfTrue="1">
      <formula>0</formula>
    </cfRule>
  </conditionalFormatting>
  <dataValidations count="5">
    <dataValidation type="whole" allowBlank="1" showErrorMessage="1" sqref="D10:D11">
      <formula1>0</formula1>
      <formula2>29</formula2>
    </dataValidation>
    <dataValidation type="whole" allowBlank="1" showErrorMessage="1" sqref="C10:C11">
      <formula1>0</formula1>
      <formula2>11</formula2>
    </dataValidation>
    <dataValidation type="whole" operator="greaterThanOrEqual" allowBlank="1" showErrorMessage="1" sqref="B10:B11">
      <formula1>0</formula1>
    </dataValidation>
    <dataValidation operator="greaterThanOrEqual" allowBlank="1" showErrorMessage="1" sqref="B7"/>
    <dataValidation type="whole" operator="greaterThanOrEqual" allowBlank="1" showErrorMessage="1" sqref="B6">
      <formula1>1</formula1>
    </dataValidation>
  </dataValidation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8" scale="59"/>
</worksheet>
</file>

<file path=xl/worksheets/sheet2.xml><?xml version="1.0" encoding="utf-8"?>
<worksheet xmlns="http://schemas.openxmlformats.org/spreadsheetml/2006/main" xmlns:r="http://schemas.openxmlformats.org/officeDocument/2006/relationships">
  <dimension ref="A1:W55"/>
  <sheetViews>
    <sheetView workbookViewId="0" topLeftCell="A1">
      <selection activeCell="B25" sqref="B25"/>
    </sheetView>
  </sheetViews>
  <sheetFormatPr defaultColWidth="11.57421875" defaultRowHeight="12.75"/>
  <cols>
    <col min="1" max="1" width="44.28125" style="0" customWidth="1"/>
    <col min="2" max="10" width="11.421875" style="0" customWidth="1"/>
    <col min="11" max="12" width="11.28125" style="0" customWidth="1"/>
    <col min="13" max="16384" width="11.421875" style="0" customWidth="1"/>
  </cols>
  <sheetData>
    <row r="1" spans="1:23" ht="12.75">
      <c r="A1" s="450" t="str">
        <f>HYPERLINK("http://www.legifrance.gouv.fr/affichTexte.do?cidTexte=JORFTEXT000021262538","Application de l'article 13 du Décret n°2009-1388 pour le classement dans le premier grade")</f>
        <v>Application de l'article 13 du Décret n°2009-1388 pour le classement dans le premier grade</v>
      </c>
      <c r="B1" s="450"/>
      <c r="C1" s="450"/>
      <c r="D1" s="450"/>
      <c r="J1" s="1" t="str">
        <f>HYPERLINK("http://www.legifrance.gouv.fr/affichTexte.do?cidTexte=JORFTEXT000021262538","Application de l'article 13 du Décret n°2009-1388 pour le classement dans le premier grade")</f>
        <v>Application de l'article 13 du Décret n°2009-1388 pour le classement dans le premier grade</v>
      </c>
      <c r="K1" s="2"/>
      <c r="L1" s="2"/>
      <c r="M1" s="2"/>
      <c r="N1" s="2"/>
      <c r="O1" s="2"/>
      <c r="P1" s="2"/>
      <c r="U1" s="2"/>
      <c r="V1" s="3" t="str">
        <f>HYPERLINK("http://www.legifrance.gouv.fr/affichTexte.do?cidTexte=JORFTEXT000021262538","Article 24 du Décret n° 2009-1338")</f>
        <v>Article 24 du Décret n° 2009-1338</v>
      </c>
      <c r="W1" s="4"/>
    </row>
    <row r="2" spans="21:23" ht="12.75">
      <c r="U2" s="2"/>
      <c r="V2" s="5" t="s">
        <v>0</v>
      </c>
      <c r="W2" s="4"/>
    </row>
    <row r="3" spans="1:23" ht="12.75" customHeight="1">
      <c r="A3" s="6" t="s">
        <v>1</v>
      </c>
      <c r="B3" s="7" t="s">
        <v>2</v>
      </c>
      <c r="J3" s="451" t="s">
        <v>3</v>
      </c>
      <c r="K3" s="451"/>
      <c r="L3" s="451"/>
      <c r="M3" s="451"/>
      <c r="N3" s="451"/>
      <c r="O3" s="451"/>
      <c r="P3" s="451"/>
      <c r="Q3" s="451"/>
      <c r="R3" s="451"/>
      <c r="U3" s="8"/>
      <c r="V3" s="8"/>
      <c r="W3" s="8"/>
    </row>
    <row r="4" spans="1:23" ht="12.75">
      <c r="A4" s="6" t="s">
        <v>4</v>
      </c>
      <c r="B4" s="7" t="s">
        <v>2</v>
      </c>
      <c r="J4" s="451"/>
      <c r="K4" s="451"/>
      <c r="L4" s="451"/>
      <c r="M4" s="451"/>
      <c r="N4" s="451"/>
      <c r="O4" s="451"/>
      <c r="P4" s="451"/>
      <c r="Q4" s="451"/>
      <c r="R4" s="451"/>
      <c r="U4" s="452" t="s">
        <v>5</v>
      </c>
      <c r="V4" s="452"/>
      <c r="W4" s="452"/>
    </row>
    <row r="5" spans="1:23" ht="12.75">
      <c r="A5" s="6" t="s">
        <v>6</v>
      </c>
      <c r="B5" s="7" t="s">
        <v>2</v>
      </c>
      <c r="V5" s="8" t="s">
        <v>7</v>
      </c>
      <c r="W5" s="8" t="s">
        <v>8</v>
      </c>
    </row>
    <row r="6" spans="10:23" ht="12.75">
      <c r="J6" t="s">
        <v>9</v>
      </c>
      <c r="K6" t="s">
        <v>10</v>
      </c>
      <c r="L6" t="s">
        <v>11</v>
      </c>
      <c r="U6" s="8" t="s">
        <v>12</v>
      </c>
      <c r="V6" s="8"/>
      <c r="W6" s="8"/>
    </row>
    <row r="7" spans="12:23" ht="12.75">
      <c r="L7" t="s">
        <v>13</v>
      </c>
      <c r="M7" t="s">
        <v>14</v>
      </c>
      <c r="N7" t="s">
        <v>15</v>
      </c>
      <c r="O7" t="s">
        <v>16</v>
      </c>
      <c r="U7" s="8">
        <v>1</v>
      </c>
      <c r="V7" s="8">
        <v>12</v>
      </c>
      <c r="W7" s="8" t="s">
        <v>17</v>
      </c>
    </row>
    <row r="8" spans="1:23" ht="12.75">
      <c r="A8" s="9" t="s">
        <v>18</v>
      </c>
      <c r="B8" s="10">
        <v>6</v>
      </c>
      <c r="J8">
        <v>1</v>
      </c>
      <c r="K8">
        <v>5</v>
      </c>
      <c r="L8" s="11">
        <v>1</v>
      </c>
      <c r="M8">
        <v>0</v>
      </c>
      <c r="N8">
        <v>2</v>
      </c>
      <c r="O8">
        <f aca="true" t="shared" si="0" ref="O8:O16">VLOOKUP(K8,$U$33:$V$44,2,1)</f>
        <v>24</v>
      </c>
      <c r="U8" s="8">
        <v>2</v>
      </c>
      <c r="V8" s="8">
        <v>24</v>
      </c>
      <c r="W8" s="8" t="s">
        <v>19</v>
      </c>
    </row>
    <row r="9" spans="10:23" ht="12.75">
      <c r="J9">
        <v>2</v>
      </c>
      <c r="K9">
        <v>5</v>
      </c>
      <c r="L9" s="11">
        <v>1</v>
      </c>
      <c r="M9">
        <v>1</v>
      </c>
      <c r="N9">
        <v>2</v>
      </c>
      <c r="O9">
        <f t="shared" si="0"/>
        <v>24</v>
      </c>
      <c r="U9" s="8">
        <v>3</v>
      </c>
      <c r="V9" s="8">
        <v>24</v>
      </c>
      <c r="W9" s="8" t="s">
        <v>19</v>
      </c>
    </row>
    <row r="10" spans="1:23" ht="12.75">
      <c r="A10" s="12" t="str">
        <f>"ÉCHELON détenu en tant que cat. C Échelle "&amp;B8</f>
        <v>ÉCHELON détenu en tant que cat. C Échelle 6</v>
      </c>
      <c r="B10" s="13">
        <v>5</v>
      </c>
      <c r="J10">
        <v>3</v>
      </c>
      <c r="K10">
        <v>6</v>
      </c>
      <c r="L10" s="11">
        <v>1</v>
      </c>
      <c r="M10">
        <v>0</v>
      </c>
      <c r="N10">
        <v>2</v>
      </c>
      <c r="O10">
        <f t="shared" si="0"/>
        <v>24</v>
      </c>
      <c r="U10" s="8">
        <v>4</v>
      </c>
      <c r="V10" s="8">
        <v>24</v>
      </c>
      <c r="W10" s="8" t="s">
        <v>19</v>
      </c>
    </row>
    <row r="11" spans="1:23" ht="12.75">
      <c r="A11" s="12" t="s">
        <v>20</v>
      </c>
      <c r="B11" s="14">
        <v>41671</v>
      </c>
      <c r="J11">
        <v>4</v>
      </c>
      <c r="K11">
        <v>7</v>
      </c>
      <c r="L11" s="11">
        <v>1</v>
      </c>
      <c r="M11">
        <v>0</v>
      </c>
      <c r="N11">
        <v>2</v>
      </c>
      <c r="O11">
        <f>VLOOKUP(K11,$U$33:$V$44,2,1)</f>
        <v>24</v>
      </c>
      <c r="U11" s="8">
        <v>5</v>
      </c>
      <c r="V11" s="8">
        <v>24</v>
      </c>
      <c r="W11" s="8" t="s">
        <v>19</v>
      </c>
    </row>
    <row r="12" spans="10:23" ht="12.75">
      <c r="J12">
        <v>5</v>
      </c>
      <c r="K12">
        <v>8</v>
      </c>
      <c r="L12" s="11">
        <v>1</v>
      </c>
      <c r="M12">
        <v>0</v>
      </c>
      <c r="N12">
        <v>3</v>
      </c>
      <c r="O12">
        <f t="shared" si="0"/>
        <v>36</v>
      </c>
      <c r="U12" s="8">
        <v>6</v>
      </c>
      <c r="V12" s="8">
        <v>24</v>
      </c>
      <c r="W12" s="8" t="s">
        <v>19</v>
      </c>
    </row>
    <row r="13" spans="1:23" ht="12.75">
      <c r="A13" s="15"/>
      <c r="B13" s="16" t="s">
        <v>21</v>
      </c>
      <c r="C13" s="16" t="s">
        <v>22</v>
      </c>
      <c r="D13" s="16" t="s">
        <v>23</v>
      </c>
      <c r="J13">
        <v>6</v>
      </c>
      <c r="K13">
        <v>9</v>
      </c>
      <c r="L13" s="11">
        <v>1</v>
      </c>
      <c r="M13">
        <v>0</v>
      </c>
      <c r="N13">
        <v>3</v>
      </c>
      <c r="O13">
        <f t="shared" si="0"/>
        <v>36</v>
      </c>
      <c r="U13" s="8">
        <v>7</v>
      </c>
      <c r="V13" s="8">
        <v>36</v>
      </c>
      <c r="W13" s="8" t="s">
        <v>24</v>
      </c>
    </row>
    <row r="14" spans="1:23" ht="12.75">
      <c r="A14" s="12" t="str">
        <f>"Reliquat d’ancienneté détenu au "&amp;DAY(B11)&amp;"/"&amp;MONTH(B11)&amp;"/"&amp;YEAR(B11)</f>
        <v>Reliquat d’ancienneté détenu au 1/2/2014</v>
      </c>
      <c r="B14" s="13">
        <v>0</v>
      </c>
      <c r="C14" s="13">
        <v>0</v>
      </c>
      <c r="D14" s="13">
        <v>0</v>
      </c>
      <c r="E14">
        <f>(B14*360)+(30*C14)+D14</f>
        <v>0</v>
      </c>
      <c r="F14" s="17" t="s">
        <v>25</v>
      </c>
      <c r="J14">
        <v>7</v>
      </c>
      <c r="K14">
        <v>10</v>
      </c>
      <c r="L14" s="11">
        <v>1</v>
      </c>
      <c r="M14">
        <v>0</v>
      </c>
      <c r="N14">
        <v>4</v>
      </c>
      <c r="O14">
        <f t="shared" si="0"/>
        <v>48</v>
      </c>
      <c r="U14" s="8">
        <v>8</v>
      </c>
      <c r="V14" s="8">
        <v>36</v>
      </c>
      <c r="W14" s="8" t="s">
        <v>24</v>
      </c>
    </row>
    <row r="15" spans="1:23" ht="12.75">
      <c r="A15" s="15"/>
      <c r="B15" s="15"/>
      <c r="C15" s="15"/>
      <c r="D15" s="15"/>
      <c r="J15">
        <v>8</v>
      </c>
      <c r="K15">
        <v>11</v>
      </c>
      <c r="L15" s="11">
        <v>1</v>
      </c>
      <c r="M15">
        <v>0</v>
      </c>
      <c r="N15">
        <v>4</v>
      </c>
      <c r="O15">
        <f t="shared" si="0"/>
        <v>48</v>
      </c>
      <c r="U15" s="8">
        <v>9</v>
      </c>
      <c r="V15" s="8">
        <v>36</v>
      </c>
      <c r="W15" s="8" t="s">
        <v>24</v>
      </c>
    </row>
    <row r="16" spans="1:23" ht="12.75">
      <c r="A16" s="12" t="s">
        <v>26</v>
      </c>
      <c r="B16" s="14">
        <v>42370</v>
      </c>
      <c r="C16" s="15"/>
      <c r="D16" s="15"/>
      <c r="J16">
        <v>9</v>
      </c>
      <c r="K16">
        <v>12</v>
      </c>
      <c r="L16" s="11">
        <v>1</v>
      </c>
      <c r="M16">
        <v>0</v>
      </c>
      <c r="N16">
        <v>4</v>
      </c>
      <c r="O16">
        <f t="shared" si="0"/>
        <v>48</v>
      </c>
      <c r="U16" s="8">
        <v>10</v>
      </c>
      <c r="V16" s="8">
        <v>36</v>
      </c>
      <c r="W16" s="8" t="s">
        <v>24</v>
      </c>
    </row>
    <row r="17" spans="21:23" ht="12.75">
      <c r="U17" s="8">
        <v>11</v>
      </c>
      <c r="V17" s="8"/>
      <c r="W17" s="8"/>
    </row>
    <row r="18" spans="21:23" ht="12.75">
      <c r="U18" s="8" t="s">
        <v>27</v>
      </c>
      <c r="V18" s="8"/>
      <c r="W18" s="8"/>
    </row>
    <row r="19" spans="1:23" ht="12.75" customHeight="1">
      <c r="A19" s="15"/>
      <c r="B19" s="16" t="s">
        <v>21</v>
      </c>
      <c r="C19" s="16" t="s">
        <v>22</v>
      </c>
      <c r="D19" s="16" t="s">
        <v>23</v>
      </c>
      <c r="E19" s="18"/>
      <c r="F19" s="18"/>
      <c r="J19" s="451" t="s">
        <v>28</v>
      </c>
      <c r="K19" s="451"/>
      <c r="L19" s="451"/>
      <c r="M19" s="451"/>
      <c r="N19" s="451"/>
      <c r="O19" s="451"/>
      <c r="P19" s="451"/>
      <c r="Q19" s="451"/>
      <c r="R19" s="451"/>
      <c r="U19" s="8">
        <v>1</v>
      </c>
      <c r="V19" s="8">
        <v>12</v>
      </c>
      <c r="W19" s="8" t="s">
        <v>17</v>
      </c>
    </row>
    <row r="20" spans="1:23" ht="12.75">
      <c r="A20" s="19" t="str">
        <f>"Durée dans l’échelon "&amp;B10&amp;" à la veille de la nomination"</f>
        <v>Durée dans l’échelon 5 à la veille de la nomination</v>
      </c>
      <c r="B20" s="20">
        <f>D20/360</f>
        <v>1.9166666666666667</v>
      </c>
      <c r="C20" s="20">
        <f>D20/30</f>
        <v>23</v>
      </c>
      <c r="D20" s="21">
        <f>DAYS360(B11,B16-1)</f>
        <v>690</v>
      </c>
      <c r="E20" s="17">
        <f>D20</f>
        <v>690</v>
      </c>
      <c r="F20" s="17" t="s">
        <v>25</v>
      </c>
      <c r="J20" s="451"/>
      <c r="K20" s="451"/>
      <c r="L20" s="451"/>
      <c r="M20" s="451"/>
      <c r="N20" s="451"/>
      <c r="O20" s="451"/>
      <c r="P20" s="451"/>
      <c r="Q20" s="451"/>
      <c r="R20" s="451"/>
      <c r="U20" s="8">
        <v>2</v>
      </c>
      <c r="V20" s="8">
        <v>24</v>
      </c>
      <c r="W20" s="8" t="s">
        <v>19</v>
      </c>
    </row>
    <row r="21" spans="21:23" ht="12.75">
      <c r="U21" s="8">
        <v>3</v>
      </c>
      <c r="V21" s="8">
        <v>24</v>
      </c>
      <c r="W21" s="8" t="s">
        <v>19</v>
      </c>
    </row>
    <row r="22" spans="1:23" ht="12.75">
      <c r="A22" t="s">
        <v>29</v>
      </c>
      <c r="B22">
        <f>E20+B14*360+30*C14+D14</f>
        <v>690</v>
      </c>
      <c r="J22" t="s">
        <v>30</v>
      </c>
      <c r="U22" s="8">
        <v>4</v>
      </c>
      <c r="V22" s="8">
        <v>24</v>
      </c>
      <c r="W22" s="8" t="s">
        <v>19</v>
      </c>
    </row>
    <row r="23" spans="2:23" ht="12.75">
      <c r="B23" s="22"/>
      <c r="K23" t="s">
        <v>31</v>
      </c>
      <c r="L23" t="s">
        <v>10</v>
      </c>
      <c r="M23" t="s">
        <v>13</v>
      </c>
      <c r="N23" t="s">
        <v>14</v>
      </c>
      <c r="O23" t="s">
        <v>15</v>
      </c>
      <c r="P23" t="s">
        <v>16</v>
      </c>
      <c r="U23" s="8">
        <v>5</v>
      </c>
      <c r="V23" s="8">
        <v>24</v>
      </c>
      <c r="W23" s="8" t="s">
        <v>19</v>
      </c>
    </row>
    <row r="24" spans="1:23" ht="12.75">
      <c r="A24" t="s">
        <v>32</v>
      </c>
      <c r="B24" s="23">
        <f>IF(B8=6,MIN(VLOOKUP(B10,$J$8:$O$16,3,1)*B22+360*VLOOKUP(B10,$J$8:$O$16,4,1),VLOOKUP(B10,$J$8:$O$16,5,1)*360),IF(AND(B22&gt;=VLOOKUP(B10,$J$24:$P$35,2,1),VLOOKUP(B10,$J$24:$P$35,2,1)&lt;&gt;0),B22-VLOOKUP(B10,$J$24:$P$35,2,1),MIN(VLOOKUP(B10,$J$24:$P$35,4,1)*B22+360*VLOOKUP(B10,$J$24:$P$35,5,1),VLOOKUP(B10,$J$24:$P$35,6,1)*360)))</f>
        <v>690</v>
      </c>
      <c r="C24" t="s">
        <v>33</v>
      </c>
      <c r="J24">
        <v>1</v>
      </c>
      <c r="K24">
        <v>0</v>
      </c>
      <c r="L24">
        <v>1</v>
      </c>
      <c r="M24" s="11">
        <v>1</v>
      </c>
      <c r="N24">
        <v>0</v>
      </c>
      <c r="O24">
        <v>1</v>
      </c>
      <c r="P24">
        <f aca="true" t="shared" si="1" ref="P24:P35">VLOOKUP(L24,$U$33:$V$44,2,1)</f>
        <v>12</v>
      </c>
      <c r="U24" s="8">
        <v>6</v>
      </c>
      <c r="V24" s="8">
        <v>24</v>
      </c>
      <c r="W24" s="8" t="s">
        <v>19</v>
      </c>
    </row>
    <row r="25" spans="1:23" ht="12.75">
      <c r="A25" t="s">
        <v>34</v>
      </c>
      <c r="B25" s="22" t="b">
        <f>IF(B8=6,B24=VLOOKUP(B10,$J$8:$O$16,6,1)*30,IF(AND(B22&gt;=VLOOKUP(B10,$J$24:$P$35,2,1),VLOOKUP(B10,$J$24:$P$35,2,1)&lt;&gt;0),VLOOKUP(B10+1,$J$24:$P$35,7,1)*30=B24,VLOOKUP(B10,$J$24:$P$35,7,1)*30=B24))</f>
        <v>0</v>
      </c>
      <c r="J25">
        <v>2</v>
      </c>
      <c r="K25">
        <v>0</v>
      </c>
      <c r="L25">
        <v>2</v>
      </c>
      <c r="M25" s="11">
        <v>1</v>
      </c>
      <c r="N25">
        <v>0</v>
      </c>
      <c r="O25">
        <v>2</v>
      </c>
      <c r="P25">
        <f t="shared" si="1"/>
        <v>24</v>
      </c>
      <c r="U25" s="8">
        <v>7</v>
      </c>
      <c r="V25" s="8">
        <v>24</v>
      </c>
      <c r="W25" s="8" t="s">
        <v>19</v>
      </c>
    </row>
    <row r="26" spans="1:23" ht="12.75">
      <c r="A26" t="s">
        <v>35</v>
      </c>
      <c r="B26" s="23">
        <f>ROUND(IF(B25,0,B24),0)</f>
        <v>690</v>
      </c>
      <c r="C26" t="s">
        <v>36</v>
      </c>
      <c r="J26">
        <v>3</v>
      </c>
      <c r="K26">
        <v>360</v>
      </c>
      <c r="L26">
        <v>2</v>
      </c>
      <c r="M26" s="11">
        <v>1</v>
      </c>
      <c r="N26">
        <v>1</v>
      </c>
      <c r="O26">
        <v>2</v>
      </c>
      <c r="P26">
        <f t="shared" si="1"/>
        <v>24</v>
      </c>
      <c r="U26" s="8">
        <v>8</v>
      </c>
      <c r="V26" s="8">
        <v>36</v>
      </c>
      <c r="W26" s="8" t="s">
        <v>24</v>
      </c>
    </row>
    <row r="27" spans="1:23" ht="12.75">
      <c r="A27" t="s">
        <v>37</v>
      </c>
      <c r="B27">
        <f>IF(B8=6,VLOOKUP(B10,$J$8:$O$16,2,1),IF(AND(B22&gt;=VLOOKUP(B10,$J$24:$P$35,2,1),VLOOKUP(B10,$J$24:$P$35,2,1)&lt;&gt;0),VLOOKUP(B10,$J$24:$P$35,3,1)+1,VLOOKUP(B10,$J$24:$P$35,3,1)))</f>
        <v>8</v>
      </c>
      <c r="J27">
        <v>4</v>
      </c>
      <c r="K27">
        <v>360</v>
      </c>
      <c r="L27">
        <v>3</v>
      </c>
      <c r="M27" s="11">
        <v>1</v>
      </c>
      <c r="N27">
        <v>1</v>
      </c>
      <c r="O27">
        <v>2</v>
      </c>
      <c r="P27">
        <f t="shared" si="1"/>
        <v>24</v>
      </c>
      <c r="U27" s="8">
        <v>9</v>
      </c>
      <c r="V27" s="8">
        <v>36</v>
      </c>
      <c r="W27" s="8" t="s">
        <v>24</v>
      </c>
    </row>
    <row r="28" spans="10:23" ht="12.75">
      <c r="J28">
        <v>5</v>
      </c>
      <c r="K28">
        <v>360</v>
      </c>
      <c r="L28">
        <v>4</v>
      </c>
      <c r="M28" s="11">
        <v>1</v>
      </c>
      <c r="N28">
        <v>1</v>
      </c>
      <c r="O28">
        <v>2</v>
      </c>
      <c r="P28">
        <f t="shared" si="1"/>
        <v>24</v>
      </c>
      <c r="U28" s="8">
        <v>10</v>
      </c>
      <c r="V28" s="8">
        <v>48</v>
      </c>
      <c r="W28" s="8" t="s">
        <v>38</v>
      </c>
    </row>
    <row r="29" spans="1:23" ht="15">
      <c r="A29" s="24" t="s">
        <v>39</v>
      </c>
      <c r="B29" s="25">
        <f>IF(B25,B27+1,B27)</f>
        <v>8</v>
      </c>
      <c r="C29" s="26"/>
      <c r="D29" s="27"/>
      <c r="J29">
        <v>6</v>
      </c>
      <c r="K29">
        <v>0</v>
      </c>
      <c r="L29">
        <v>5</v>
      </c>
      <c r="M29" s="11">
        <v>0.5</v>
      </c>
      <c r="N29">
        <v>1</v>
      </c>
      <c r="O29">
        <v>2</v>
      </c>
      <c r="P29">
        <f t="shared" si="1"/>
        <v>24</v>
      </c>
      <c r="U29" s="8">
        <v>11</v>
      </c>
      <c r="V29" s="8">
        <v>48</v>
      </c>
      <c r="W29" s="8" t="s">
        <v>38</v>
      </c>
    </row>
    <row r="30" spans="1:23" ht="12.75">
      <c r="A30" s="28"/>
      <c r="D30" s="29"/>
      <c r="J30">
        <v>7</v>
      </c>
      <c r="K30">
        <v>0</v>
      </c>
      <c r="L30">
        <v>6</v>
      </c>
      <c r="M30" s="11">
        <v>1</v>
      </c>
      <c r="N30">
        <v>0</v>
      </c>
      <c r="O30">
        <v>2</v>
      </c>
      <c r="P30">
        <f t="shared" si="1"/>
        <v>24</v>
      </c>
      <c r="U30" s="8">
        <v>12</v>
      </c>
      <c r="V30" s="8">
        <v>48</v>
      </c>
      <c r="W30" s="8" t="s">
        <v>38</v>
      </c>
    </row>
    <row r="31" spans="1:23" ht="12.75">
      <c r="A31" s="30"/>
      <c r="B31" s="16" t="s">
        <v>21</v>
      </c>
      <c r="C31" s="16" t="s">
        <v>22</v>
      </c>
      <c r="D31" s="31" t="s">
        <v>23</v>
      </c>
      <c r="J31">
        <v>8</v>
      </c>
      <c r="K31">
        <v>0</v>
      </c>
      <c r="L31">
        <v>7</v>
      </c>
      <c r="M31" s="11">
        <f>2/3</f>
        <v>0.6666666666666666</v>
      </c>
      <c r="N31">
        <v>0</v>
      </c>
      <c r="O31">
        <v>2</v>
      </c>
      <c r="P31">
        <f t="shared" si="1"/>
        <v>24</v>
      </c>
      <c r="U31" s="8">
        <v>13</v>
      </c>
      <c r="V31" s="8"/>
      <c r="W31" s="8"/>
    </row>
    <row r="32" spans="1:23" ht="12.75">
      <c r="A32" s="32" t="s">
        <v>29</v>
      </c>
      <c r="B32" s="33">
        <f>INT(B26/360)</f>
        <v>1</v>
      </c>
      <c r="C32" s="33">
        <f>INT((B26-B32*360)/30)</f>
        <v>11</v>
      </c>
      <c r="D32" s="34">
        <f>B26-B32*360-C32*30</f>
        <v>0</v>
      </c>
      <c r="J32">
        <v>9</v>
      </c>
      <c r="K32">
        <v>0</v>
      </c>
      <c r="L32">
        <v>8</v>
      </c>
      <c r="M32" s="11">
        <v>0</v>
      </c>
      <c r="N32">
        <v>0</v>
      </c>
      <c r="O32">
        <v>3</v>
      </c>
      <c r="P32">
        <f t="shared" si="1"/>
        <v>36</v>
      </c>
      <c r="U32" s="8" t="s">
        <v>40</v>
      </c>
      <c r="V32" s="8"/>
      <c r="W32" s="8"/>
    </row>
    <row r="33" spans="1:23" ht="12.75">
      <c r="A33" t="s">
        <v>41</v>
      </c>
      <c r="B33">
        <f>(B32*365)+(C32*30)+D32</f>
        <v>695</v>
      </c>
      <c r="J33">
        <v>10</v>
      </c>
      <c r="K33">
        <v>0</v>
      </c>
      <c r="L33">
        <v>8</v>
      </c>
      <c r="M33" s="11">
        <f>3/4</f>
        <v>0.75</v>
      </c>
      <c r="N33">
        <v>0</v>
      </c>
      <c r="O33">
        <v>3</v>
      </c>
      <c r="P33">
        <f t="shared" si="1"/>
        <v>36</v>
      </c>
      <c r="U33" s="8">
        <v>1</v>
      </c>
      <c r="V33" s="8">
        <v>12</v>
      </c>
      <c r="W33" s="8" t="s">
        <v>17</v>
      </c>
    </row>
    <row r="34" spans="10:23" ht="12.75">
      <c r="J34">
        <v>11</v>
      </c>
      <c r="K34">
        <v>0</v>
      </c>
      <c r="L34">
        <v>9</v>
      </c>
      <c r="M34" s="11">
        <f>3/4</f>
        <v>0.75</v>
      </c>
      <c r="N34">
        <v>0</v>
      </c>
      <c r="O34">
        <v>3</v>
      </c>
      <c r="P34">
        <f t="shared" si="1"/>
        <v>36</v>
      </c>
      <c r="U34" s="8">
        <v>2</v>
      </c>
      <c r="V34" s="8">
        <v>24</v>
      </c>
      <c r="W34" s="8" t="s">
        <v>19</v>
      </c>
    </row>
    <row r="35" spans="10:23" ht="12.75">
      <c r="J35">
        <v>12</v>
      </c>
      <c r="K35">
        <v>0</v>
      </c>
      <c r="L35">
        <v>10</v>
      </c>
      <c r="M35" s="11">
        <v>1</v>
      </c>
      <c r="N35">
        <v>0</v>
      </c>
      <c r="O35">
        <v>2</v>
      </c>
      <c r="P35">
        <f t="shared" si="1"/>
        <v>48</v>
      </c>
      <c r="U35" s="8">
        <v>3</v>
      </c>
      <c r="V35" s="8">
        <v>24</v>
      </c>
      <c r="W35" s="8" t="s">
        <v>19</v>
      </c>
    </row>
    <row r="36" spans="21:23" ht="12.75">
      <c r="U36" s="8">
        <v>4</v>
      </c>
      <c r="V36" s="8">
        <v>24</v>
      </c>
      <c r="W36" s="8" t="s">
        <v>19</v>
      </c>
    </row>
    <row r="37" spans="21:23" ht="12.75">
      <c r="U37" s="8">
        <v>5</v>
      </c>
      <c r="V37" s="35">
        <v>24</v>
      </c>
      <c r="W37" s="35" t="s">
        <v>19</v>
      </c>
    </row>
    <row r="38" spans="21:23" ht="12.75">
      <c r="U38" s="8">
        <v>6</v>
      </c>
      <c r="V38" s="8">
        <v>24</v>
      </c>
      <c r="W38" s="8" t="s">
        <v>19</v>
      </c>
    </row>
    <row r="39" spans="21:23" ht="12.75">
      <c r="U39" s="8">
        <v>7</v>
      </c>
      <c r="V39" s="8">
        <v>24</v>
      </c>
      <c r="W39" s="8" t="s">
        <v>19</v>
      </c>
    </row>
    <row r="40" spans="1:23" ht="12.75">
      <c r="A40" s="450" t="str">
        <f>HYPERLINK("http://www.legifrance.gouv.fr/affichTexte.do?cidTexte=JORFTEXT000021262538","Application de l'article 21 du Décret n°2009-1388 pour le classement dans le deuxieme grade")</f>
        <v>Application de l'article 21 du Décret n°2009-1388 pour le classement dans le deuxieme grade</v>
      </c>
      <c r="B40" s="450"/>
      <c r="C40" s="450"/>
      <c r="D40" s="450"/>
      <c r="E40" s="450"/>
      <c r="J40" s="1" t="str">
        <f>HYPERLINK("http://www.legifrance.gouv.fr/affichTexte.do?cidTexte=JORFTEXT000021262538","Application de l'article 21 du Décret n°2009-1388 pour le classement dans le deuxieme grade")</f>
        <v>Application de l'article 21 du Décret n°2009-1388 pour le classement dans le deuxieme grade</v>
      </c>
      <c r="K40" s="2"/>
      <c r="L40" s="2"/>
      <c r="M40" s="2"/>
      <c r="N40" s="2"/>
      <c r="O40" s="2"/>
      <c r="P40" s="2"/>
      <c r="Q40" s="2"/>
      <c r="U40" s="8">
        <v>8</v>
      </c>
      <c r="V40" s="8">
        <v>36</v>
      </c>
      <c r="W40" s="8" t="s">
        <v>24</v>
      </c>
    </row>
    <row r="41" spans="21:23" ht="12.75">
      <c r="U41" s="8">
        <v>9</v>
      </c>
      <c r="V41" s="8">
        <v>36</v>
      </c>
      <c r="W41" s="8" t="s">
        <v>24</v>
      </c>
    </row>
    <row r="42" spans="11:23" ht="12.75">
      <c r="K42" t="s">
        <v>31</v>
      </c>
      <c r="L42" t="s">
        <v>10</v>
      </c>
      <c r="M42" t="s">
        <v>13</v>
      </c>
      <c r="N42" t="s">
        <v>14</v>
      </c>
      <c r="O42" t="s">
        <v>42</v>
      </c>
      <c r="P42" t="s">
        <v>16</v>
      </c>
      <c r="U42" s="8">
        <v>10</v>
      </c>
      <c r="V42" s="8">
        <v>48</v>
      </c>
      <c r="W42" s="8" t="s">
        <v>38</v>
      </c>
    </row>
    <row r="43" spans="1:23" ht="12.75">
      <c r="A43" t="s">
        <v>37</v>
      </c>
      <c r="B43">
        <f>IF(AND(VLOOKUP(B29,$J$43:$P$55,2,1)&lt;&gt;0,B26&gt;=VLOOKUP(B29,$J$43:$P$55,2,1)),VLOOKUP(B29,$J$43:$P$55,3,1)+1,VLOOKUP(B29,$J$43:$P$55,3,1))</f>
        <v>7</v>
      </c>
      <c r="J43">
        <v>1</v>
      </c>
      <c r="K43">
        <v>0</v>
      </c>
      <c r="L43">
        <v>1</v>
      </c>
      <c r="M43" s="11">
        <v>1</v>
      </c>
      <c r="N43">
        <v>0</v>
      </c>
      <c r="O43">
        <v>0</v>
      </c>
      <c r="P43">
        <f aca="true" t="shared" si="2" ref="P43:P55">VLOOKUP(L43,$U$19:$V$30,2,1)</f>
        <v>12</v>
      </c>
      <c r="U43" s="8">
        <v>11</v>
      </c>
      <c r="V43" s="8">
        <v>48</v>
      </c>
      <c r="W43" s="8" t="s">
        <v>38</v>
      </c>
    </row>
    <row r="44" spans="1:23" ht="12.75">
      <c r="A44" t="s">
        <v>43</v>
      </c>
      <c r="B44">
        <f>IF(AND(VLOOKUP(B29,$J$43:$P$55,2,1)&lt;&gt;0,B26&gt;=VLOOKUP(B29,$J$43:$P$55,2,1)),(B26-VLOOKUP(B29,$J$43:$P$55,2,1))*VLOOKUP(B29,$J$43:$P$55,6,1),VLOOKUP(B29,$J$43:$P$55,4,1)*B26+VLOOKUP(B29,$J$43:$P$55,5,1)*360)</f>
        <v>705</v>
      </c>
      <c r="J44">
        <v>2</v>
      </c>
      <c r="K44">
        <v>0</v>
      </c>
      <c r="L44">
        <v>2</v>
      </c>
      <c r="M44" s="11">
        <v>0.5</v>
      </c>
      <c r="N44">
        <v>0</v>
      </c>
      <c r="O44">
        <v>0</v>
      </c>
      <c r="P44">
        <f t="shared" si="2"/>
        <v>24</v>
      </c>
      <c r="U44" s="8">
        <v>12</v>
      </c>
      <c r="V44" s="8">
        <v>48</v>
      </c>
      <c r="W44" s="8" t="s">
        <v>38</v>
      </c>
    </row>
    <row r="45" spans="1:23" ht="12.75">
      <c r="A45" t="s">
        <v>34</v>
      </c>
      <c r="B45" s="22" t="b">
        <f>IF(AND(VLOOKUP(B29,$J$43:$P$55,2,1)&lt;&gt;0,B26&gt;=VLOOKUP(B29,$J$43:$P$55,2,1)),B44&gt;=VLOOKUP(B29+1,$J$43:$P$55,7,1)*30,B44&gt;=VLOOKUP(B29,$J$43:$P$55,7,1)*30)</f>
        <v>0</v>
      </c>
      <c r="J45">
        <v>3</v>
      </c>
      <c r="K45">
        <v>360</v>
      </c>
      <c r="L45">
        <v>2</v>
      </c>
      <c r="M45" s="11">
        <v>1</v>
      </c>
      <c r="N45">
        <v>1</v>
      </c>
      <c r="O45" s="11">
        <v>1</v>
      </c>
      <c r="P45">
        <f t="shared" si="2"/>
        <v>24</v>
      </c>
      <c r="U45" s="8">
        <v>13</v>
      </c>
      <c r="V45" s="8"/>
      <c r="W45" s="8"/>
    </row>
    <row r="46" spans="1:16" ht="12">
      <c r="A46" t="s">
        <v>35</v>
      </c>
      <c r="B46" s="23">
        <f>ROUND(IF(B45,0,B44),0)</f>
        <v>705</v>
      </c>
      <c r="C46" t="s">
        <v>36</v>
      </c>
      <c r="J46">
        <v>4</v>
      </c>
      <c r="K46">
        <v>360</v>
      </c>
      <c r="L46">
        <v>3</v>
      </c>
      <c r="M46" s="11">
        <v>1</v>
      </c>
      <c r="N46">
        <v>1</v>
      </c>
      <c r="O46" s="11">
        <v>0</v>
      </c>
      <c r="P46">
        <f t="shared" si="2"/>
        <v>24</v>
      </c>
    </row>
    <row r="47" spans="10:16" ht="12">
      <c r="J47">
        <v>5</v>
      </c>
      <c r="K47">
        <f>360+4*30</f>
        <v>480</v>
      </c>
      <c r="L47">
        <v>4</v>
      </c>
      <c r="M47" s="11">
        <f>3/2</f>
        <v>1.5</v>
      </c>
      <c r="N47">
        <v>0</v>
      </c>
      <c r="O47" s="11">
        <f>3/2</f>
        <v>1.5</v>
      </c>
      <c r="P47">
        <f t="shared" si="2"/>
        <v>24</v>
      </c>
    </row>
    <row r="48" spans="10:16" ht="12">
      <c r="J48">
        <v>6</v>
      </c>
      <c r="K48">
        <v>480</v>
      </c>
      <c r="L48">
        <v>5</v>
      </c>
      <c r="M48" s="11">
        <f>3/4</f>
        <v>0.75</v>
      </c>
      <c r="N48">
        <v>1</v>
      </c>
      <c r="O48" s="11">
        <f>3/2</f>
        <v>1.5</v>
      </c>
      <c r="P48">
        <f t="shared" si="2"/>
        <v>24</v>
      </c>
    </row>
    <row r="49" spans="1:16" ht="15">
      <c r="A49" s="24" t="s">
        <v>44</v>
      </c>
      <c r="B49" s="25">
        <f>IF(B45,B43+1,B43)</f>
        <v>7</v>
      </c>
      <c r="C49" s="26"/>
      <c r="D49" s="27"/>
      <c r="J49">
        <v>7</v>
      </c>
      <c r="K49">
        <v>480</v>
      </c>
      <c r="L49">
        <v>6</v>
      </c>
      <c r="M49" s="11">
        <f>3/4</f>
        <v>0.75</v>
      </c>
      <c r="N49">
        <v>1</v>
      </c>
      <c r="O49" s="11">
        <f>3/2</f>
        <v>1.5</v>
      </c>
      <c r="P49">
        <f t="shared" si="2"/>
        <v>24</v>
      </c>
    </row>
    <row r="50" spans="1:16" ht="12">
      <c r="A50" s="28"/>
      <c r="D50" s="29"/>
      <c r="J50">
        <v>8</v>
      </c>
      <c r="K50">
        <v>720</v>
      </c>
      <c r="L50">
        <v>7</v>
      </c>
      <c r="M50" s="11">
        <f>1/2</f>
        <v>0.5</v>
      </c>
      <c r="N50">
        <v>1</v>
      </c>
      <c r="O50" s="11">
        <v>1</v>
      </c>
      <c r="P50">
        <f t="shared" si="2"/>
        <v>24</v>
      </c>
    </row>
    <row r="51" spans="1:16" ht="12.75">
      <c r="A51" s="30"/>
      <c r="B51" s="16" t="s">
        <v>21</v>
      </c>
      <c r="C51" s="16" t="s">
        <v>22</v>
      </c>
      <c r="D51" s="31" t="s">
        <v>23</v>
      </c>
      <c r="J51">
        <v>9</v>
      </c>
      <c r="K51">
        <v>720</v>
      </c>
      <c r="L51">
        <v>8</v>
      </c>
      <c r="M51" s="11">
        <v>1</v>
      </c>
      <c r="N51">
        <v>1</v>
      </c>
      <c r="O51" s="11">
        <v>1</v>
      </c>
      <c r="P51">
        <f t="shared" si="2"/>
        <v>36</v>
      </c>
    </row>
    <row r="52" spans="1:16" ht="12.75">
      <c r="A52" s="32" t="s">
        <v>29</v>
      </c>
      <c r="B52" s="33">
        <f>INT(B46/360)</f>
        <v>1</v>
      </c>
      <c r="C52" s="33">
        <f>INT((B46-B52*360)/30)</f>
        <v>11</v>
      </c>
      <c r="D52" s="34">
        <f>B46-B52*360-C52*30</f>
        <v>15</v>
      </c>
      <c r="J52">
        <v>10</v>
      </c>
      <c r="K52">
        <f>2*360+8*30</f>
        <v>960</v>
      </c>
      <c r="L52">
        <v>9</v>
      </c>
      <c r="M52" s="11">
        <f>3/4</f>
        <v>0.75</v>
      </c>
      <c r="N52">
        <v>1</v>
      </c>
      <c r="O52" s="11">
        <f>3/4</f>
        <v>0.75</v>
      </c>
      <c r="P52">
        <f t="shared" si="2"/>
        <v>36</v>
      </c>
    </row>
    <row r="53" spans="10:16" ht="12">
      <c r="J53">
        <v>11</v>
      </c>
      <c r="K53">
        <v>720</v>
      </c>
      <c r="L53">
        <v>10</v>
      </c>
      <c r="M53" s="11">
        <v>1</v>
      </c>
      <c r="N53">
        <v>1</v>
      </c>
      <c r="O53" s="11">
        <v>1</v>
      </c>
      <c r="P53">
        <f t="shared" si="2"/>
        <v>48</v>
      </c>
    </row>
    <row r="54" spans="10:16" ht="12">
      <c r="J54">
        <v>12</v>
      </c>
      <c r="K54">
        <v>720</v>
      </c>
      <c r="L54">
        <v>11</v>
      </c>
      <c r="M54" s="11">
        <v>1</v>
      </c>
      <c r="N54">
        <v>2</v>
      </c>
      <c r="O54" s="11">
        <v>1</v>
      </c>
      <c r="P54">
        <f t="shared" si="2"/>
        <v>48</v>
      </c>
    </row>
    <row r="55" spans="10:16" ht="12">
      <c r="J55">
        <v>13</v>
      </c>
      <c r="K55">
        <v>0</v>
      </c>
      <c r="L55">
        <v>12</v>
      </c>
      <c r="M55" s="11">
        <v>1</v>
      </c>
      <c r="N55">
        <v>2</v>
      </c>
      <c r="O55">
        <v>0</v>
      </c>
      <c r="P55">
        <f t="shared" si="2"/>
        <v>48</v>
      </c>
    </row>
  </sheetData>
  <sheetProtection password="EEF6" sheet="1" objects="1" scenarios="1"/>
  <mergeCells count="5">
    <mergeCell ref="A40:E40"/>
    <mergeCell ref="A1:D1"/>
    <mergeCell ref="J3:R4"/>
    <mergeCell ref="U4:W4"/>
    <mergeCell ref="J19:R20"/>
  </mergeCells>
  <dataValidations count="7">
    <dataValidation type="date" operator="greaterThan" allowBlank="1" showErrorMessage="1" sqref="B16">
      <formula1>41671</formula1>
    </dataValidation>
    <dataValidation type="whole" allowBlank="1" showErrorMessage="1" sqref="D14">
      <formula1>0</formula1>
      <formula2>29</formula2>
    </dataValidation>
    <dataValidation type="whole" allowBlank="1" showErrorMessage="1" sqref="C14">
      <formula1>0</formula1>
      <formula2>11</formula2>
    </dataValidation>
    <dataValidation type="whole" operator="greaterThanOrEqual" allowBlank="1" showErrorMessage="1" sqref="B14">
      <formula1>0</formula1>
    </dataValidation>
    <dataValidation operator="greaterThanOrEqual" allowBlank="1" showErrorMessage="1" sqref="B11">
      <formula1>0</formula1>
    </dataValidation>
    <dataValidation type="whole" operator="greaterThanOrEqual" allowBlank="1" showErrorMessage="1" sqref="B10">
      <formula1>1</formula1>
    </dataValidation>
    <dataValidation type="list" operator="equal" allowBlank="1" showErrorMessage="1" sqref="B8">
      <formula1>"3,4,5,6"</formula1>
    </dataValidation>
  </dataValidations>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3:AI39"/>
  <sheetViews>
    <sheetView workbookViewId="0" topLeftCell="A12">
      <selection activeCell="O30" sqref="O30"/>
    </sheetView>
  </sheetViews>
  <sheetFormatPr defaultColWidth="11.421875" defaultRowHeight="12.75"/>
  <cols>
    <col min="1" max="1" width="7.7109375" style="0" customWidth="1"/>
    <col min="2" max="2" width="15.421875" style="0" customWidth="1"/>
    <col min="3" max="4" width="4.00390625" style="0" customWidth="1"/>
    <col min="5" max="5" width="10.00390625" style="0" customWidth="1"/>
    <col min="6" max="6" width="10.140625" style="0" customWidth="1"/>
    <col min="7" max="8" width="4.00390625" style="0" customWidth="1"/>
    <col min="9" max="9" width="9.421875" style="0" customWidth="1"/>
    <col min="10" max="10" width="15.421875" style="0" customWidth="1"/>
    <col min="11" max="11" width="10.140625" style="0" customWidth="1"/>
    <col min="12" max="13" width="4.00390625" style="0" customWidth="1"/>
    <col min="14" max="14" width="10.140625" style="0" customWidth="1"/>
    <col min="15" max="15" width="15.421875" style="0" customWidth="1"/>
    <col min="16" max="16" width="10.140625" style="0" customWidth="1"/>
    <col min="17" max="17" width="7.28125" style="0" customWidth="1"/>
    <col min="18" max="18" width="4.00390625" style="0" customWidth="1"/>
    <col min="19" max="19" width="8.140625" style="0" customWidth="1"/>
    <col min="20" max="20" width="15.421875" style="0" customWidth="1"/>
    <col min="21" max="21" width="8.421875" style="0" customWidth="1"/>
    <col min="22" max="23" width="4.00390625" style="0" customWidth="1"/>
    <col min="24" max="24" width="8.140625" style="0" customWidth="1"/>
    <col min="25" max="25" width="13.00390625" style="0" customWidth="1"/>
    <col min="26" max="26" width="7.7109375" style="0" customWidth="1"/>
    <col min="27" max="28" width="4.00390625" style="0" customWidth="1"/>
    <col min="29" max="29" width="8.140625" style="0" customWidth="1"/>
    <col min="30" max="30" width="13.00390625" style="0" customWidth="1"/>
    <col min="31" max="31" width="7.7109375" style="0" customWidth="1"/>
    <col min="32" max="33" width="4.00390625" style="0" customWidth="1"/>
    <col min="34" max="34" width="8.140625" style="0" customWidth="1"/>
    <col min="35" max="35" width="13.00390625" style="0" customWidth="1"/>
    <col min="36" max="36" width="3.421875" style="0" customWidth="1"/>
    <col min="37" max="37" width="16.7109375" style="0" customWidth="1"/>
  </cols>
  <sheetData>
    <row r="3" spans="6:35" s="36" customFormat="1" ht="28.5" customHeight="1">
      <c r="F3" s="454" t="s">
        <v>45</v>
      </c>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row>
    <row r="4" spans="6:35" s="37" customFormat="1" ht="21" customHeight="1">
      <c r="F4" s="455">
        <v>42370</v>
      </c>
      <c r="G4" s="455"/>
      <c r="H4" s="455"/>
      <c r="I4" s="455"/>
      <c r="J4" s="455"/>
      <c r="K4" s="456">
        <v>42736</v>
      </c>
      <c r="L4" s="456"/>
      <c r="M4" s="456"/>
      <c r="N4" s="456"/>
      <c r="O4" s="456"/>
      <c r="P4" s="456"/>
      <c r="Q4" s="456"/>
      <c r="R4" s="456"/>
      <c r="S4" s="456"/>
      <c r="T4" s="456"/>
      <c r="U4" s="455">
        <v>43101</v>
      </c>
      <c r="V4" s="455"/>
      <c r="W4" s="455"/>
      <c r="X4" s="455"/>
      <c r="Y4" s="455"/>
      <c r="Z4" s="455">
        <v>43466</v>
      </c>
      <c r="AA4" s="455"/>
      <c r="AB4" s="455"/>
      <c r="AC4" s="455"/>
      <c r="AD4" s="455"/>
      <c r="AE4" s="455">
        <v>43831</v>
      </c>
      <c r="AF4" s="455"/>
      <c r="AG4" s="455"/>
      <c r="AH4" s="455"/>
      <c r="AI4" s="455"/>
    </row>
    <row r="5" spans="6:35" s="38" customFormat="1" ht="16.5" customHeight="1">
      <c r="F5" s="453" t="s">
        <v>46</v>
      </c>
      <c r="G5" s="453"/>
      <c r="H5" s="453"/>
      <c r="I5" s="453"/>
      <c r="J5" s="453"/>
      <c r="K5" s="453" t="s">
        <v>46</v>
      </c>
      <c r="L5" s="453"/>
      <c r="M5" s="453"/>
      <c r="N5" s="453"/>
      <c r="O5" s="453"/>
      <c r="P5" s="453" t="s">
        <v>47</v>
      </c>
      <c r="Q5" s="453"/>
      <c r="R5" s="453"/>
      <c r="S5" s="453"/>
      <c r="T5" s="453"/>
      <c r="U5" s="453" t="s">
        <v>47</v>
      </c>
      <c r="V5" s="453"/>
      <c r="W5" s="453"/>
      <c r="X5" s="453"/>
      <c r="Y5" s="453"/>
      <c r="Z5" s="453" t="s">
        <v>47</v>
      </c>
      <c r="AA5" s="453"/>
      <c r="AB5" s="453"/>
      <c r="AC5" s="453"/>
      <c r="AD5" s="453"/>
      <c r="AE5" s="453" t="s">
        <v>47</v>
      </c>
      <c r="AF5" s="453"/>
      <c r="AG5" s="453"/>
      <c r="AH5" s="453"/>
      <c r="AI5" s="453"/>
    </row>
    <row r="6" spans="6:35" s="39" customFormat="1" ht="60">
      <c r="F6" s="40" t="s">
        <v>48</v>
      </c>
      <c r="G6" s="41" t="s">
        <v>49</v>
      </c>
      <c r="H6" s="41" t="s">
        <v>50</v>
      </c>
      <c r="I6" s="41" t="s">
        <v>51</v>
      </c>
      <c r="J6" s="42" t="s">
        <v>52</v>
      </c>
      <c r="K6" s="40" t="s">
        <v>48</v>
      </c>
      <c r="L6" s="41" t="s">
        <v>49</v>
      </c>
      <c r="M6" s="41" t="s">
        <v>50</v>
      </c>
      <c r="N6" s="41" t="s">
        <v>51</v>
      </c>
      <c r="O6" s="42" t="s">
        <v>52</v>
      </c>
      <c r="P6" s="40" t="s">
        <v>48</v>
      </c>
      <c r="Q6" s="41" t="s">
        <v>49</v>
      </c>
      <c r="R6" s="41" t="s">
        <v>50</v>
      </c>
      <c r="S6" s="41" t="s">
        <v>51</v>
      </c>
      <c r="T6" s="43" t="s">
        <v>53</v>
      </c>
      <c r="U6" s="40" t="s">
        <v>48</v>
      </c>
      <c r="V6" s="41" t="s">
        <v>49</v>
      </c>
      <c r="W6" s="42" t="s">
        <v>50</v>
      </c>
      <c r="X6" s="41" t="s">
        <v>51</v>
      </c>
      <c r="Y6" s="44" t="s">
        <v>53</v>
      </c>
      <c r="Z6" s="40" t="s">
        <v>48</v>
      </c>
      <c r="AA6" s="41" t="s">
        <v>49</v>
      </c>
      <c r="AB6" s="42" t="s">
        <v>50</v>
      </c>
      <c r="AC6" s="41" t="s">
        <v>51</v>
      </c>
      <c r="AD6" s="44" t="s">
        <v>53</v>
      </c>
      <c r="AE6" s="40" t="s">
        <v>48</v>
      </c>
      <c r="AF6" s="41" t="s">
        <v>49</v>
      </c>
      <c r="AG6" s="42" t="s">
        <v>50</v>
      </c>
      <c r="AH6" s="41" t="s">
        <v>51</v>
      </c>
      <c r="AI6" s="44" t="s">
        <v>53</v>
      </c>
    </row>
    <row r="7" spans="6:35" ht="12">
      <c r="F7" s="45">
        <v>9</v>
      </c>
      <c r="G7" s="46">
        <v>543</v>
      </c>
      <c r="H7" s="46">
        <v>462</v>
      </c>
      <c r="I7" s="47"/>
      <c r="J7" s="48" t="s">
        <v>21</v>
      </c>
      <c r="K7" s="45">
        <v>9</v>
      </c>
      <c r="L7" s="46">
        <v>543</v>
      </c>
      <c r="M7" s="46">
        <v>462</v>
      </c>
      <c r="N7" s="47"/>
      <c r="O7" s="48" t="s">
        <v>21</v>
      </c>
      <c r="P7" s="45">
        <v>10</v>
      </c>
      <c r="Q7" s="46">
        <v>548</v>
      </c>
      <c r="R7" s="46">
        <v>466</v>
      </c>
      <c r="S7" s="46"/>
      <c r="T7" s="48" t="s">
        <v>54</v>
      </c>
      <c r="U7" s="45">
        <v>10</v>
      </c>
      <c r="V7" s="46">
        <v>548</v>
      </c>
      <c r="W7" s="49">
        <v>466</v>
      </c>
      <c r="X7" s="50"/>
      <c r="Y7" s="51" t="s">
        <v>54</v>
      </c>
      <c r="Z7" s="45">
        <v>10</v>
      </c>
      <c r="AA7" s="46">
        <v>548</v>
      </c>
      <c r="AB7" s="49">
        <v>466</v>
      </c>
      <c r="AC7" s="46"/>
      <c r="AD7" s="51" t="s">
        <v>54</v>
      </c>
      <c r="AE7" s="45">
        <v>10</v>
      </c>
      <c r="AF7" s="46">
        <v>558</v>
      </c>
      <c r="AG7" s="49">
        <v>473</v>
      </c>
      <c r="AH7" s="46"/>
      <c r="AI7" s="51" t="s">
        <v>54</v>
      </c>
    </row>
    <row r="8" spans="6:35" ht="12">
      <c r="F8" s="52">
        <v>8</v>
      </c>
      <c r="G8" s="53">
        <v>506</v>
      </c>
      <c r="H8" s="53">
        <v>436</v>
      </c>
      <c r="I8" s="54">
        <v>4</v>
      </c>
      <c r="J8" s="55" t="s">
        <v>21</v>
      </c>
      <c r="K8" s="52">
        <v>8</v>
      </c>
      <c r="L8" s="53">
        <v>506</v>
      </c>
      <c r="M8" s="53">
        <v>436</v>
      </c>
      <c r="N8" s="54">
        <v>4</v>
      </c>
      <c r="O8" s="55" t="s">
        <v>21</v>
      </c>
      <c r="P8" s="52">
        <v>9</v>
      </c>
      <c r="Q8" s="53">
        <v>518</v>
      </c>
      <c r="R8" s="53">
        <v>445</v>
      </c>
      <c r="S8" s="53">
        <v>3</v>
      </c>
      <c r="T8" s="55" t="s">
        <v>55</v>
      </c>
      <c r="U8" s="52">
        <v>9</v>
      </c>
      <c r="V8" s="53">
        <v>525</v>
      </c>
      <c r="W8" s="56">
        <v>450</v>
      </c>
      <c r="X8" s="57">
        <v>3</v>
      </c>
      <c r="Y8" s="58" t="s">
        <v>54</v>
      </c>
      <c r="Z8" s="52">
        <v>9</v>
      </c>
      <c r="AA8" s="53">
        <v>525</v>
      </c>
      <c r="AB8" s="56">
        <v>450</v>
      </c>
      <c r="AC8" s="53">
        <v>3</v>
      </c>
      <c r="AD8" s="58" t="s">
        <v>54</v>
      </c>
      <c r="AE8" s="52">
        <v>9</v>
      </c>
      <c r="AF8" s="53">
        <v>525</v>
      </c>
      <c r="AG8" s="56">
        <v>450</v>
      </c>
      <c r="AH8" s="53">
        <v>3</v>
      </c>
      <c r="AI8" s="58" t="s">
        <v>54</v>
      </c>
    </row>
    <row r="9" spans="6:35" ht="12">
      <c r="F9" s="52">
        <v>7</v>
      </c>
      <c r="G9" s="53">
        <v>488</v>
      </c>
      <c r="H9" s="53">
        <v>422</v>
      </c>
      <c r="I9" s="54">
        <v>4</v>
      </c>
      <c r="J9" s="55" t="s">
        <v>21</v>
      </c>
      <c r="K9" s="52">
        <v>7</v>
      </c>
      <c r="L9" s="53">
        <v>488</v>
      </c>
      <c r="M9" s="53">
        <v>422</v>
      </c>
      <c r="N9" s="54">
        <v>4</v>
      </c>
      <c r="O9" s="55" t="s">
        <v>21</v>
      </c>
      <c r="P9" s="52">
        <v>8</v>
      </c>
      <c r="Q9" s="53">
        <v>499</v>
      </c>
      <c r="R9" s="53">
        <v>430</v>
      </c>
      <c r="S9" s="53">
        <v>3</v>
      </c>
      <c r="T9" s="55" t="s">
        <v>55</v>
      </c>
      <c r="U9" s="52">
        <v>8</v>
      </c>
      <c r="V9" s="53">
        <v>499</v>
      </c>
      <c r="W9" s="56">
        <v>430</v>
      </c>
      <c r="X9" s="57">
        <v>3</v>
      </c>
      <c r="Y9" s="58" t="s">
        <v>54</v>
      </c>
      <c r="Z9" s="52">
        <v>8</v>
      </c>
      <c r="AA9" s="53">
        <v>499</v>
      </c>
      <c r="AB9" s="56">
        <v>430</v>
      </c>
      <c r="AC9" s="53">
        <v>3</v>
      </c>
      <c r="AD9" s="58" t="s">
        <v>54</v>
      </c>
      <c r="AE9" s="52">
        <v>8</v>
      </c>
      <c r="AF9" s="53">
        <v>499</v>
      </c>
      <c r="AG9" s="56">
        <v>430</v>
      </c>
      <c r="AH9" s="53">
        <v>3</v>
      </c>
      <c r="AI9" s="58" t="s">
        <v>54</v>
      </c>
    </row>
    <row r="10" spans="6:35" ht="12">
      <c r="F10" s="52">
        <v>6</v>
      </c>
      <c r="G10" s="53">
        <v>457</v>
      </c>
      <c r="H10" s="53">
        <v>400</v>
      </c>
      <c r="I10" s="54">
        <v>3</v>
      </c>
      <c r="J10" s="55" t="s">
        <v>21</v>
      </c>
      <c r="K10" s="52">
        <v>6</v>
      </c>
      <c r="L10" s="53">
        <v>457</v>
      </c>
      <c r="M10" s="53">
        <v>400</v>
      </c>
      <c r="N10" s="54">
        <v>3</v>
      </c>
      <c r="O10" s="55" t="s">
        <v>21</v>
      </c>
      <c r="P10" s="52">
        <v>7</v>
      </c>
      <c r="Q10" s="53">
        <v>475</v>
      </c>
      <c r="R10" s="53">
        <v>413</v>
      </c>
      <c r="S10" s="53">
        <v>3</v>
      </c>
      <c r="T10" s="55" t="s">
        <v>54</v>
      </c>
      <c r="U10" s="52">
        <v>7</v>
      </c>
      <c r="V10" s="53">
        <v>478</v>
      </c>
      <c r="W10" s="56">
        <v>415</v>
      </c>
      <c r="X10" s="57">
        <v>3</v>
      </c>
      <c r="Y10" s="58" t="s">
        <v>54</v>
      </c>
      <c r="Z10" s="52">
        <v>7</v>
      </c>
      <c r="AA10" s="53">
        <v>478</v>
      </c>
      <c r="AB10" s="56">
        <v>415</v>
      </c>
      <c r="AC10" s="53">
        <v>3</v>
      </c>
      <c r="AD10" s="58" t="s">
        <v>54</v>
      </c>
      <c r="AE10" s="52">
        <v>7</v>
      </c>
      <c r="AF10" s="53">
        <v>478</v>
      </c>
      <c r="AG10" s="56">
        <v>415</v>
      </c>
      <c r="AH10" s="53">
        <v>3</v>
      </c>
      <c r="AI10" s="58" t="s">
        <v>54</v>
      </c>
    </row>
    <row r="11" spans="6:35" ht="12">
      <c r="F11" s="52">
        <v>5</v>
      </c>
      <c r="G11" s="53">
        <v>437</v>
      </c>
      <c r="H11" s="53">
        <v>385</v>
      </c>
      <c r="I11" s="54">
        <v>3</v>
      </c>
      <c r="J11" s="55" t="s">
        <v>56</v>
      </c>
      <c r="K11" s="52">
        <v>5</v>
      </c>
      <c r="L11" s="53">
        <v>437</v>
      </c>
      <c r="M11" s="53">
        <v>385</v>
      </c>
      <c r="N11" s="54">
        <v>3</v>
      </c>
      <c r="O11" s="55" t="s">
        <v>56</v>
      </c>
      <c r="P11" s="52">
        <v>6</v>
      </c>
      <c r="Q11" s="53">
        <v>457</v>
      </c>
      <c r="R11" s="53">
        <v>400</v>
      </c>
      <c r="S11" s="53">
        <v>2</v>
      </c>
      <c r="T11" s="55" t="s">
        <v>57</v>
      </c>
      <c r="U11" s="52">
        <v>6</v>
      </c>
      <c r="V11" s="53">
        <v>460</v>
      </c>
      <c r="W11" s="56">
        <v>403</v>
      </c>
      <c r="X11" s="57">
        <v>2</v>
      </c>
      <c r="Y11" s="58" t="s">
        <v>54</v>
      </c>
      <c r="Z11" s="52">
        <v>6</v>
      </c>
      <c r="AA11" s="53">
        <v>460</v>
      </c>
      <c r="AB11" s="56">
        <v>403</v>
      </c>
      <c r="AC11" s="53">
        <v>2</v>
      </c>
      <c r="AD11" s="58" t="s">
        <v>54</v>
      </c>
      <c r="AE11" s="52">
        <v>6</v>
      </c>
      <c r="AF11" s="53">
        <v>460</v>
      </c>
      <c r="AG11" s="56">
        <v>403</v>
      </c>
      <c r="AH11" s="53">
        <v>2</v>
      </c>
      <c r="AI11" s="58" t="s">
        <v>54</v>
      </c>
    </row>
    <row r="12" spans="6:35" ht="12">
      <c r="F12" s="52">
        <v>5</v>
      </c>
      <c r="G12" s="59">
        <v>437</v>
      </c>
      <c r="H12" s="59">
        <v>385</v>
      </c>
      <c r="I12" s="54">
        <v>3</v>
      </c>
      <c r="J12" s="55" t="s">
        <v>58</v>
      </c>
      <c r="K12" s="52">
        <v>5</v>
      </c>
      <c r="L12" s="59">
        <v>437</v>
      </c>
      <c r="M12" s="59">
        <v>385</v>
      </c>
      <c r="N12" s="54">
        <v>3</v>
      </c>
      <c r="O12" s="55" t="s">
        <v>58</v>
      </c>
      <c r="P12" s="52">
        <v>5</v>
      </c>
      <c r="Q12" s="53">
        <v>445</v>
      </c>
      <c r="R12" s="53">
        <v>391</v>
      </c>
      <c r="S12" s="53">
        <v>2</v>
      </c>
      <c r="T12" s="55" t="s">
        <v>59</v>
      </c>
      <c r="U12" s="52">
        <v>5</v>
      </c>
      <c r="V12" s="53">
        <v>448</v>
      </c>
      <c r="W12" s="56">
        <v>393</v>
      </c>
      <c r="X12" s="57">
        <v>2</v>
      </c>
      <c r="Y12" s="58" t="s">
        <v>54</v>
      </c>
      <c r="Z12" s="52">
        <v>5</v>
      </c>
      <c r="AA12" s="53">
        <v>448</v>
      </c>
      <c r="AB12" s="56">
        <v>393</v>
      </c>
      <c r="AC12" s="53">
        <v>2</v>
      </c>
      <c r="AD12" s="58" t="s">
        <v>54</v>
      </c>
      <c r="AE12" s="52">
        <v>5</v>
      </c>
      <c r="AF12" s="53">
        <v>448</v>
      </c>
      <c r="AG12" s="56">
        <v>393</v>
      </c>
      <c r="AH12" s="53">
        <v>2</v>
      </c>
      <c r="AI12" s="58" t="s">
        <v>54</v>
      </c>
    </row>
    <row r="13" spans="6:35" ht="12">
      <c r="F13" s="52">
        <v>4</v>
      </c>
      <c r="G13" s="53">
        <v>416</v>
      </c>
      <c r="H13" s="53">
        <v>370</v>
      </c>
      <c r="I13" s="54">
        <v>2</v>
      </c>
      <c r="J13" s="55" t="s">
        <v>21</v>
      </c>
      <c r="K13" s="52">
        <v>4</v>
      </c>
      <c r="L13" s="53">
        <v>416</v>
      </c>
      <c r="M13" s="53">
        <v>370</v>
      </c>
      <c r="N13" s="54">
        <v>2</v>
      </c>
      <c r="O13" s="55" t="s">
        <v>21</v>
      </c>
      <c r="P13" s="52">
        <v>4</v>
      </c>
      <c r="Q13" s="53">
        <v>422</v>
      </c>
      <c r="R13" s="53">
        <v>375</v>
      </c>
      <c r="S13" s="53">
        <v>2</v>
      </c>
      <c r="T13" s="55" t="s">
        <v>54</v>
      </c>
      <c r="U13" s="52">
        <v>4</v>
      </c>
      <c r="V13" s="53">
        <v>430</v>
      </c>
      <c r="W13" s="56">
        <v>380</v>
      </c>
      <c r="X13" s="57">
        <v>2</v>
      </c>
      <c r="Y13" s="58" t="s">
        <v>54</v>
      </c>
      <c r="Z13" s="52">
        <v>4</v>
      </c>
      <c r="AA13" s="53">
        <v>430</v>
      </c>
      <c r="AB13" s="56">
        <v>380</v>
      </c>
      <c r="AC13" s="53">
        <v>2</v>
      </c>
      <c r="AD13" s="58" t="s">
        <v>54</v>
      </c>
      <c r="AE13" s="52">
        <v>4</v>
      </c>
      <c r="AF13" s="53">
        <v>430</v>
      </c>
      <c r="AG13" s="56">
        <v>380</v>
      </c>
      <c r="AH13" s="53">
        <v>2</v>
      </c>
      <c r="AI13" s="58" t="s">
        <v>54</v>
      </c>
    </row>
    <row r="14" spans="1:35" ht="12">
      <c r="A14" s="60" t="s">
        <v>21</v>
      </c>
      <c r="B14" s="60" t="s">
        <v>60</v>
      </c>
      <c r="F14" s="52">
        <v>3</v>
      </c>
      <c r="G14" s="53">
        <v>388</v>
      </c>
      <c r="H14" s="53">
        <v>355</v>
      </c>
      <c r="I14" s="54">
        <v>2</v>
      </c>
      <c r="J14" s="55" t="s">
        <v>21</v>
      </c>
      <c r="K14" s="52">
        <v>3</v>
      </c>
      <c r="L14" s="53">
        <v>388</v>
      </c>
      <c r="M14" s="53">
        <v>355</v>
      </c>
      <c r="N14" s="54">
        <v>2</v>
      </c>
      <c r="O14" s="55" t="s">
        <v>21</v>
      </c>
      <c r="P14" s="52">
        <v>3</v>
      </c>
      <c r="Q14" s="53">
        <v>404</v>
      </c>
      <c r="R14" s="53">
        <v>365</v>
      </c>
      <c r="S14" s="53">
        <v>2</v>
      </c>
      <c r="T14" s="55" t="s">
        <v>54</v>
      </c>
      <c r="U14" s="52">
        <v>3</v>
      </c>
      <c r="V14" s="59">
        <v>412</v>
      </c>
      <c r="W14" s="56">
        <v>368</v>
      </c>
      <c r="X14" s="57">
        <v>2</v>
      </c>
      <c r="Y14" s="58" t="s">
        <v>54</v>
      </c>
      <c r="Z14" s="52">
        <v>3</v>
      </c>
      <c r="AA14" s="59">
        <v>412</v>
      </c>
      <c r="AB14" s="56">
        <v>368</v>
      </c>
      <c r="AC14" s="53">
        <v>2</v>
      </c>
      <c r="AD14" s="58" t="s">
        <v>54</v>
      </c>
      <c r="AE14" s="52">
        <v>3</v>
      </c>
      <c r="AF14" s="59">
        <v>412</v>
      </c>
      <c r="AG14" s="56">
        <v>368</v>
      </c>
      <c r="AH14" s="53">
        <v>2</v>
      </c>
      <c r="AI14" s="58" t="s">
        <v>54</v>
      </c>
    </row>
    <row r="15" spans="1:35" ht="12">
      <c r="A15" s="60" t="s">
        <v>54</v>
      </c>
      <c r="B15" s="60" t="s">
        <v>61</v>
      </c>
      <c r="F15" s="52">
        <v>2</v>
      </c>
      <c r="G15" s="53">
        <v>374</v>
      </c>
      <c r="H15" s="53">
        <v>345</v>
      </c>
      <c r="I15" s="54">
        <v>1</v>
      </c>
      <c r="J15" s="55" t="s">
        <v>21</v>
      </c>
      <c r="K15" s="52">
        <v>2</v>
      </c>
      <c r="L15" s="53">
        <v>374</v>
      </c>
      <c r="M15" s="53">
        <v>345</v>
      </c>
      <c r="N15" s="54">
        <v>1</v>
      </c>
      <c r="O15" s="55" t="s">
        <v>21</v>
      </c>
      <c r="P15" s="52">
        <v>3</v>
      </c>
      <c r="Q15" s="59">
        <v>404</v>
      </c>
      <c r="R15" s="53">
        <v>365</v>
      </c>
      <c r="S15" s="53">
        <v>2</v>
      </c>
      <c r="T15" s="55" t="s">
        <v>62</v>
      </c>
      <c r="U15" s="52">
        <v>2</v>
      </c>
      <c r="V15" s="53">
        <v>393</v>
      </c>
      <c r="W15" s="56">
        <v>358</v>
      </c>
      <c r="X15" s="57">
        <v>1</v>
      </c>
      <c r="Y15" s="58" t="s">
        <v>54</v>
      </c>
      <c r="Z15" s="52">
        <v>2</v>
      </c>
      <c r="AA15" s="53">
        <v>393</v>
      </c>
      <c r="AB15" s="56">
        <v>358</v>
      </c>
      <c r="AC15" s="53">
        <v>1</v>
      </c>
      <c r="AD15" s="58" t="s">
        <v>54</v>
      </c>
      <c r="AE15" s="52">
        <v>2</v>
      </c>
      <c r="AF15" s="53">
        <v>393</v>
      </c>
      <c r="AG15" s="56">
        <v>358</v>
      </c>
      <c r="AH15" s="53">
        <v>1</v>
      </c>
      <c r="AI15" s="58" t="s">
        <v>54</v>
      </c>
    </row>
    <row r="16" spans="1:35" ht="12">
      <c r="A16" s="60" t="s">
        <v>62</v>
      </c>
      <c r="B16" s="61" t="s">
        <v>63</v>
      </c>
      <c r="F16" s="62">
        <v>1</v>
      </c>
      <c r="G16" s="63">
        <v>364</v>
      </c>
      <c r="H16" s="63">
        <v>338</v>
      </c>
      <c r="I16" s="64">
        <v>1</v>
      </c>
      <c r="J16" s="65" t="s">
        <v>21</v>
      </c>
      <c r="K16" s="62">
        <v>1</v>
      </c>
      <c r="L16" s="63">
        <v>364</v>
      </c>
      <c r="M16" s="63">
        <v>338</v>
      </c>
      <c r="N16" s="64">
        <v>1</v>
      </c>
      <c r="O16" s="65" t="s">
        <v>21</v>
      </c>
      <c r="P16" s="52">
        <v>2</v>
      </c>
      <c r="Q16" s="53">
        <v>388</v>
      </c>
      <c r="R16" s="53">
        <v>355</v>
      </c>
      <c r="S16" s="53">
        <v>1</v>
      </c>
      <c r="T16" s="55" t="s">
        <v>54</v>
      </c>
      <c r="U16" s="66">
        <v>1</v>
      </c>
      <c r="V16" s="63">
        <v>380</v>
      </c>
      <c r="W16" s="67">
        <v>350</v>
      </c>
      <c r="X16" s="63">
        <v>1</v>
      </c>
      <c r="Y16" s="68" t="s">
        <v>54</v>
      </c>
      <c r="Z16" s="66">
        <v>1</v>
      </c>
      <c r="AA16" s="63">
        <v>380</v>
      </c>
      <c r="AB16" s="67">
        <v>350</v>
      </c>
      <c r="AC16" s="63">
        <v>1</v>
      </c>
      <c r="AD16" s="68" t="s">
        <v>54</v>
      </c>
      <c r="AE16" s="66">
        <v>1</v>
      </c>
      <c r="AF16" s="63">
        <v>380</v>
      </c>
      <c r="AG16" s="67">
        <v>350</v>
      </c>
      <c r="AH16" s="63">
        <v>1</v>
      </c>
      <c r="AI16" s="68" t="s">
        <v>54</v>
      </c>
    </row>
    <row r="17" spans="16:25" ht="12">
      <c r="P17" s="66">
        <v>1</v>
      </c>
      <c r="Q17" s="63">
        <v>374</v>
      </c>
      <c r="R17" s="63">
        <v>345</v>
      </c>
      <c r="S17" s="63">
        <v>1</v>
      </c>
      <c r="T17" s="69"/>
      <c r="Y17" s="70"/>
    </row>
    <row r="18" ht="12">
      <c r="Y18" s="70"/>
    </row>
    <row r="20" ht="12">
      <c r="AE20" s="71"/>
    </row>
    <row r="21" spans="11:35" ht="12">
      <c r="K21" s="71"/>
      <c r="L21" s="71"/>
      <c r="M21" s="71"/>
      <c r="N21" s="71"/>
      <c r="O21" s="71"/>
      <c r="AE21" s="71"/>
      <c r="AF21" s="71"/>
      <c r="AG21" s="71"/>
      <c r="AH21" s="71"/>
      <c r="AI21" s="71"/>
    </row>
    <row r="22" spans="1:35" ht="13.5" customHeight="1">
      <c r="A22" s="454" t="s">
        <v>64</v>
      </c>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71"/>
      <c r="AA22" s="71"/>
      <c r="AB22" s="71"/>
      <c r="AC22" s="71"/>
      <c r="AD22" s="71"/>
      <c r="AE22" s="71"/>
      <c r="AF22" s="71"/>
      <c r="AG22" s="71"/>
      <c r="AH22" s="71"/>
      <c r="AI22" s="71"/>
    </row>
    <row r="23" spans="1:35" ht="18">
      <c r="A23" s="456">
        <v>42370</v>
      </c>
      <c r="B23" s="456"/>
      <c r="C23" s="456"/>
      <c r="D23" s="456"/>
      <c r="E23" s="456"/>
      <c r="F23" s="456"/>
      <c r="G23" s="456"/>
      <c r="H23" s="456"/>
      <c r="I23" s="456"/>
      <c r="J23" s="456"/>
      <c r="K23" s="456">
        <v>42736</v>
      </c>
      <c r="L23" s="456"/>
      <c r="M23" s="456"/>
      <c r="N23" s="456"/>
      <c r="O23" s="456"/>
      <c r="P23" s="456"/>
      <c r="Q23" s="456"/>
      <c r="R23" s="456"/>
      <c r="S23" s="456"/>
      <c r="T23" s="456"/>
      <c r="U23" s="456">
        <v>43101</v>
      </c>
      <c r="V23" s="456"/>
      <c r="W23" s="456"/>
      <c r="X23" s="456"/>
      <c r="Y23" s="456"/>
      <c r="Z23" s="457"/>
      <c r="AA23" s="457"/>
      <c r="AB23" s="457"/>
      <c r="AC23" s="457"/>
      <c r="AD23" s="457"/>
      <c r="AE23" s="457"/>
      <c r="AF23" s="457"/>
      <c r="AG23" s="457"/>
      <c r="AH23" s="457"/>
      <c r="AI23" s="457"/>
    </row>
    <row r="24" spans="1:35" ht="16.5" customHeight="1">
      <c r="A24" s="453" t="s">
        <v>65</v>
      </c>
      <c r="B24" s="453"/>
      <c r="C24" s="453"/>
      <c r="D24" s="453"/>
      <c r="E24" s="453"/>
      <c r="F24" s="453" t="s">
        <v>66</v>
      </c>
      <c r="G24" s="453"/>
      <c r="H24" s="453"/>
      <c r="I24" s="453"/>
      <c r="J24" s="453"/>
      <c r="K24" s="453" t="s">
        <v>66</v>
      </c>
      <c r="L24" s="453"/>
      <c r="M24" s="453"/>
      <c r="N24" s="453"/>
      <c r="O24" s="453"/>
      <c r="P24" s="453" t="s">
        <v>66</v>
      </c>
      <c r="Q24" s="453"/>
      <c r="R24" s="453"/>
      <c r="S24" s="453"/>
      <c r="T24" s="453"/>
      <c r="U24" s="453" t="s">
        <v>66</v>
      </c>
      <c r="V24" s="453"/>
      <c r="W24" s="453"/>
      <c r="X24" s="453"/>
      <c r="Y24" s="453"/>
      <c r="Z24" s="458"/>
      <c r="AA24" s="458"/>
      <c r="AB24" s="458"/>
      <c r="AC24" s="458"/>
      <c r="AD24" s="458"/>
      <c r="AE24" s="458"/>
      <c r="AF24" s="458"/>
      <c r="AG24" s="458"/>
      <c r="AH24" s="458"/>
      <c r="AI24" s="458"/>
    </row>
    <row r="25" spans="1:35" ht="60">
      <c r="A25" s="40" t="s">
        <v>48</v>
      </c>
      <c r="B25" s="41" t="s">
        <v>51</v>
      </c>
      <c r="C25" s="41" t="s">
        <v>49</v>
      </c>
      <c r="D25" s="41" t="s">
        <v>50</v>
      </c>
      <c r="E25" s="42" t="s">
        <v>52</v>
      </c>
      <c r="F25" s="40" t="s">
        <v>48</v>
      </c>
      <c r="G25" s="41" t="s">
        <v>49</v>
      </c>
      <c r="H25" s="41" t="s">
        <v>50</v>
      </c>
      <c r="I25" s="41" t="s">
        <v>51</v>
      </c>
      <c r="J25" s="43" t="s">
        <v>53</v>
      </c>
      <c r="K25" s="72" t="s">
        <v>48</v>
      </c>
      <c r="L25" s="73" t="s">
        <v>49</v>
      </c>
      <c r="M25" s="73" t="s">
        <v>50</v>
      </c>
      <c r="N25" s="73" t="s">
        <v>51</v>
      </c>
      <c r="O25" s="42" t="s">
        <v>52</v>
      </c>
      <c r="P25" s="40" t="s">
        <v>48</v>
      </c>
      <c r="Q25" s="41" t="s">
        <v>49</v>
      </c>
      <c r="R25" s="41" t="s">
        <v>50</v>
      </c>
      <c r="S25" s="41" t="s">
        <v>51</v>
      </c>
      <c r="T25" s="43" t="s">
        <v>53</v>
      </c>
      <c r="U25" s="40" t="s">
        <v>48</v>
      </c>
      <c r="V25" s="41" t="s">
        <v>49</v>
      </c>
      <c r="W25" s="42" t="s">
        <v>50</v>
      </c>
      <c r="X25" s="41" t="s">
        <v>51</v>
      </c>
      <c r="Y25" s="43" t="s">
        <v>53</v>
      </c>
      <c r="Z25" s="74"/>
      <c r="AA25" s="74"/>
      <c r="AB25" s="74"/>
      <c r="AC25" s="74"/>
      <c r="AD25" s="74"/>
      <c r="AE25" s="74"/>
      <c r="AF25" s="74"/>
      <c r="AG25" s="74"/>
      <c r="AH25" s="74"/>
      <c r="AI25" s="74"/>
    </row>
    <row r="26" spans="1:35" ht="12">
      <c r="A26" s="45">
        <v>13</v>
      </c>
      <c r="B26" s="75"/>
      <c r="C26" s="53">
        <v>576</v>
      </c>
      <c r="D26" s="53">
        <v>486</v>
      </c>
      <c r="E26" s="76" t="s">
        <v>21</v>
      </c>
      <c r="F26" s="45">
        <v>13</v>
      </c>
      <c r="G26" s="53">
        <v>582</v>
      </c>
      <c r="H26" s="53">
        <v>492</v>
      </c>
      <c r="I26" s="75"/>
      <c r="J26" s="76" t="s">
        <v>54</v>
      </c>
      <c r="K26" s="77">
        <v>13</v>
      </c>
      <c r="L26" s="78">
        <v>582</v>
      </c>
      <c r="M26" s="79">
        <v>492</v>
      </c>
      <c r="N26" s="75"/>
      <c r="O26" s="76" t="s">
        <v>21</v>
      </c>
      <c r="P26" s="47">
        <v>13</v>
      </c>
      <c r="Q26" s="53">
        <v>591</v>
      </c>
      <c r="R26" s="53">
        <v>498</v>
      </c>
      <c r="S26" s="75"/>
      <c r="T26" s="80" t="s">
        <v>54</v>
      </c>
      <c r="U26" s="45">
        <v>13</v>
      </c>
      <c r="V26" s="53">
        <v>597</v>
      </c>
      <c r="W26" s="53">
        <v>503</v>
      </c>
      <c r="X26" s="75"/>
      <c r="Y26" s="55" t="s">
        <v>54</v>
      </c>
      <c r="Z26" s="71"/>
      <c r="AA26" s="71"/>
      <c r="AB26" s="71"/>
      <c r="AC26" s="74"/>
      <c r="AD26" s="70"/>
      <c r="AE26" s="71"/>
      <c r="AF26" s="71"/>
      <c r="AG26" s="71"/>
      <c r="AH26" s="74"/>
      <c r="AI26" s="70"/>
    </row>
    <row r="27" spans="1:35" ht="12">
      <c r="A27" s="52">
        <v>12</v>
      </c>
      <c r="B27" s="53">
        <v>4</v>
      </c>
      <c r="C27" s="53">
        <v>548</v>
      </c>
      <c r="D27" s="53">
        <v>466</v>
      </c>
      <c r="E27" s="55" t="s">
        <v>21</v>
      </c>
      <c r="F27" s="52">
        <v>12</v>
      </c>
      <c r="G27" s="53">
        <v>557</v>
      </c>
      <c r="H27" s="53">
        <v>472</v>
      </c>
      <c r="I27" s="53">
        <v>4</v>
      </c>
      <c r="J27" s="55" t="s">
        <v>54</v>
      </c>
      <c r="K27" s="52">
        <v>12</v>
      </c>
      <c r="L27" s="53">
        <v>557</v>
      </c>
      <c r="M27" s="81">
        <v>472</v>
      </c>
      <c r="N27" s="53">
        <v>4</v>
      </c>
      <c r="O27" s="82" t="s">
        <v>21</v>
      </c>
      <c r="P27" s="54">
        <v>12</v>
      </c>
      <c r="Q27" s="53">
        <v>559</v>
      </c>
      <c r="R27" s="53">
        <v>474</v>
      </c>
      <c r="S27" s="53">
        <v>4</v>
      </c>
      <c r="T27" s="55" t="s">
        <v>54</v>
      </c>
      <c r="U27" s="52">
        <v>12</v>
      </c>
      <c r="V27" s="53">
        <v>563</v>
      </c>
      <c r="W27" s="53">
        <v>477</v>
      </c>
      <c r="X27" s="53">
        <v>4</v>
      </c>
      <c r="Y27" s="55" t="s">
        <v>54</v>
      </c>
      <c r="Z27" s="71"/>
      <c r="AA27" s="71"/>
      <c r="AB27" s="71"/>
      <c r="AC27" s="71"/>
      <c r="AD27" s="70"/>
      <c r="AE27" s="71"/>
      <c r="AF27" s="71"/>
      <c r="AG27" s="71"/>
      <c r="AH27" s="71"/>
      <c r="AI27" s="70"/>
    </row>
    <row r="28" spans="1:35" ht="12">
      <c r="A28" s="52">
        <v>11</v>
      </c>
      <c r="B28" s="53">
        <v>4</v>
      </c>
      <c r="C28" s="53">
        <v>516</v>
      </c>
      <c r="D28" s="53">
        <v>443</v>
      </c>
      <c r="E28" s="55" t="s">
        <v>21</v>
      </c>
      <c r="F28" s="52">
        <v>11</v>
      </c>
      <c r="G28" s="53">
        <v>524</v>
      </c>
      <c r="H28" s="53">
        <v>449</v>
      </c>
      <c r="I28" s="53">
        <v>4</v>
      </c>
      <c r="J28" s="55" t="s">
        <v>54</v>
      </c>
      <c r="K28" s="52">
        <v>11</v>
      </c>
      <c r="L28" s="53">
        <v>524</v>
      </c>
      <c r="M28" s="81">
        <v>449</v>
      </c>
      <c r="N28" s="53">
        <v>4</v>
      </c>
      <c r="O28" s="82" t="s">
        <v>21</v>
      </c>
      <c r="P28" s="54">
        <v>11</v>
      </c>
      <c r="Q28" s="53">
        <v>529</v>
      </c>
      <c r="R28" s="53">
        <v>453</v>
      </c>
      <c r="S28" s="53">
        <v>3</v>
      </c>
      <c r="T28" s="55" t="s">
        <v>55</v>
      </c>
      <c r="U28" s="52">
        <v>11</v>
      </c>
      <c r="V28" s="53">
        <v>538</v>
      </c>
      <c r="W28" s="53">
        <v>457</v>
      </c>
      <c r="X28" s="53">
        <v>3</v>
      </c>
      <c r="Y28" s="55" t="s">
        <v>54</v>
      </c>
      <c r="Z28" s="71"/>
      <c r="AA28" s="71"/>
      <c r="AB28" s="71"/>
      <c r="AC28" s="71"/>
      <c r="AD28" s="70"/>
      <c r="AE28" s="71"/>
      <c r="AF28" s="71"/>
      <c r="AG28" s="71"/>
      <c r="AH28" s="71"/>
      <c r="AI28" s="70"/>
    </row>
    <row r="29" spans="1:35" ht="12">
      <c r="A29" s="52">
        <v>10</v>
      </c>
      <c r="B29" s="54">
        <v>4</v>
      </c>
      <c r="C29" s="53">
        <v>488</v>
      </c>
      <c r="D29" s="53">
        <v>422</v>
      </c>
      <c r="E29" s="55" t="s">
        <v>21</v>
      </c>
      <c r="F29" s="52">
        <v>10</v>
      </c>
      <c r="G29" s="53">
        <v>497</v>
      </c>
      <c r="H29" s="53">
        <v>428</v>
      </c>
      <c r="I29" s="54">
        <v>4</v>
      </c>
      <c r="J29" s="55" t="s">
        <v>54</v>
      </c>
      <c r="K29" s="52">
        <v>10</v>
      </c>
      <c r="L29" s="53">
        <v>497</v>
      </c>
      <c r="M29" s="81">
        <v>428</v>
      </c>
      <c r="N29" s="54">
        <v>4</v>
      </c>
      <c r="O29" s="82" t="s">
        <v>67</v>
      </c>
      <c r="P29" s="54">
        <v>10</v>
      </c>
      <c r="Q29" s="53">
        <v>512</v>
      </c>
      <c r="R29" s="53">
        <v>440</v>
      </c>
      <c r="S29" s="54">
        <v>3</v>
      </c>
      <c r="T29" s="55" t="s">
        <v>68</v>
      </c>
      <c r="U29" s="52">
        <v>10</v>
      </c>
      <c r="V29" s="53">
        <v>513</v>
      </c>
      <c r="W29" s="53">
        <v>441</v>
      </c>
      <c r="X29" s="54">
        <v>3</v>
      </c>
      <c r="Y29" s="55" t="s">
        <v>54</v>
      </c>
      <c r="Z29" s="71"/>
      <c r="AA29" s="71"/>
      <c r="AB29" s="71"/>
      <c r="AC29" s="71"/>
      <c r="AD29" s="70"/>
      <c r="AE29" s="71"/>
      <c r="AF29" s="71"/>
      <c r="AG29" s="71"/>
      <c r="AH29" s="71"/>
      <c r="AI29" s="70"/>
    </row>
    <row r="30" spans="1:35" ht="12">
      <c r="A30" s="83"/>
      <c r="B30" s="84"/>
      <c r="C30" s="85"/>
      <c r="D30" s="85"/>
      <c r="E30" s="86"/>
      <c r="F30" s="83"/>
      <c r="G30" s="85"/>
      <c r="H30" s="85"/>
      <c r="I30" s="84"/>
      <c r="J30" s="86"/>
      <c r="K30" s="52">
        <v>10</v>
      </c>
      <c r="L30" s="53">
        <v>497</v>
      </c>
      <c r="M30" s="81">
        <v>428</v>
      </c>
      <c r="N30" s="54">
        <v>4</v>
      </c>
      <c r="O30" s="55" t="s">
        <v>69</v>
      </c>
      <c r="P30" s="54">
        <v>9</v>
      </c>
      <c r="Q30" s="53">
        <v>498</v>
      </c>
      <c r="R30" s="53">
        <v>429</v>
      </c>
      <c r="S30" s="54">
        <v>3</v>
      </c>
      <c r="T30" s="55" t="s">
        <v>54</v>
      </c>
      <c r="U30" s="52">
        <v>9</v>
      </c>
      <c r="V30" s="53">
        <v>500</v>
      </c>
      <c r="W30" s="53">
        <v>431</v>
      </c>
      <c r="X30" s="54">
        <v>3</v>
      </c>
      <c r="Y30" s="55" t="s">
        <v>54</v>
      </c>
      <c r="Z30" s="71"/>
      <c r="AA30" s="71"/>
      <c r="AB30" s="71"/>
      <c r="AC30" s="71"/>
      <c r="AD30" s="70"/>
      <c r="AE30" s="71"/>
      <c r="AF30" s="71"/>
      <c r="AG30" s="71"/>
      <c r="AH30" s="71"/>
      <c r="AI30" s="70"/>
    </row>
    <row r="31" spans="1:35" ht="12">
      <c r="A31" s="52">
        <v>9</v>
      </c>
      <c r="B31" s="54">
        <v>3</v>
      </c>
      <c r="C31" s="53">
        <v>457</v>
      </c>
      <c r="D31" s="53">
        <v>400</v>
      </c>
      <c r="E31" s="55" t="s">
        <v>21</v>
      </c>
      <c r="F31" s="52">
        <v>9</v>
      </c>
      <c r="G31" s="53">
        <v>464</v>
      </c>
      <c r="H31" s="53">
        <v>406</v>
      </c>
      <c r="I31" s="54">
        <v>3</v>
      </c>
      <c r="J31" s="55" t="s">
        <v>54</v>
      </c>
      <c r="K31" s="52">
        <v>9</v>
      </c>
      <c r="L31" s="53">
        <v>464</v>
      </c>
      <c r="M31" s="81">
        <v>406</v>
      </c>
      <c r="N31" s="54">
        <v>3</v>
      </c>
      <c r="O31" s="82" t="s">
        <v>21</v>
      </c>
      <c r="P31" s="54">
        <v>8</v>
      </c>
      <c r="Q31" s="53">
        <v>475</v>
      </c>
      <c r="R31" s="59">
        <v>413</v>
      </c>
      <c r="S31" s="54">
        <v>3</v>
      </c>
      <c r="T31" s="55" t="s">
        <v>54</v>
      </c>
      <c r="U31" s="52">
        <v>8</v>
      </c>
      <c r="V31" s="59">
        <v>478</v>
      </c>
      <c r="W31" s="59">
        <v>415</v>
      </c>
      <c r="X31" s="54">
        <v>3</v>
      </c>
      <c r="Y31" s="55" t="s">
        <v>54</v>
      </c>
      <c r="Z31" s="71"/>
      <c r="AA31" s="87"/>
      <c r="AB31" s="87"/>
      <c r="AC31" s="71"/>
      <c r="AD31" s="70"/>
      <c r="AE31" s="71"/>
      <c r="AF31" s="87"/>
      <c r="AG31" s="87"/>
      <c r="AH31" s="71"/>
      <c r="AI31" s="70"/>
    </row>
    <row r="32" spans="1:35" ht="12">
      <c r="A32" s="52">
        <v>8</v>
      </c>
      <c r="B32" s="54">
        <v>3</v>
      </c>
      <c r="C32" s="59">
        <v>438</v>
      </c>
      <c r="D32" s="59">
        <v>386</v>
      </c>
      <c r="E32" s="55" t="s">
        <v>21</v>
      </c>
      <c r="F32" s="52">
        <v>8</v>
      </c>
      <c r="G32" s="59">
        <v>446</v>
      </c>
      <c r="H32" s="59">
        <v>392</v>
      </c>
      <c r="I32" s="54">
        <v>3</v>
      </c>
      <c r="J32" s="55" t="s">
        <v>54</v>
      </c>
      <c r="K32" s="52">
        <v>8</v>
      </c>
      <c r="L32" s="59">
        <v>446</v>
      </c>
      <c r="M32" s="88">
        <v>392</v>
      </c>
      <c r="N32" s="54">
        <v>3</v>
      </c>
      <c r="O32" s="82" t="s">
        <v>21</v>
      </c>
      <c r="P32" s="54">
        <v>7</v>
      </c>
      <c r="Q32" s="59">
        <v>449</v>
      </c>
      <c r="R32" s="59">
        <v>394</v>
      </c>
      <c r="S32" s="54">
        <v>2</v>
      </c>
      <c r="T32" s="55" t="s">
        <v>70</v>
      </c>
      <c r="U32" s="52">
        <v>7</v>
      </c>
      <c r="V32" s="59">
        <v>452</v>
      </c>
      <c r="W32" s="59">
        <v>396</v>
      </c>
      <c r="X32" s="54">
        <v>2</v>
      </c>
      <c r="Y32" s="55" t="s">
        <v>54</v>
      </c>
      <c r="Z32" s="71"/>
      <c r="AA32" s="87"/>
      <c r="AB32" s="87"/>
      <c r="AC32" s="71"/>
      <c r="AD32" s="70"/>
      <c r="AE32" s="71"/>
      <c r="AF32" s="87"/>
      <c r="AG32" s="87"/>
      <c r="AH32" s="71"/>
      <c r="AI32" s="70"/>
    </row>
    <row r="33" spans="1:35" ht="12">
      <c r="A33" s="52">
        <v>7</v>
      </c>
      <c r="B33" s="54">
        <v>2</v>
      </c>
      <c r="C33" s="59">
        <v>418</v>
      </c>
      <c r="D33" s="59">
        <v>371</v>
      </c>
      <c r="E33" s="55" t="s">
        <v>21</v>
      </c>
      <c r="F33" s="52">
        <v>7</v>
      </c>
      <c r="G33" s="59">
        <v>425</v>
      </c>
      <c r="H33" s="59">
        <v>377</v>
      </c>
      <c r="I33" s="54">
        <v>2</v>
      </c>
      <c r="J33" s="55" t="s">
        <v>54</v>
      </c>
      <c r="K33" s="52">
        <v>7</v>
      </c>
      <c r="L33" s="59">
        <v>425</v>
      </c>
      <c r="M33" s="88">
        <v>377</v>
      </c>
      <c r="N33" s="54">
        <v>2</v>
      </c>
      <c r="O33" s="82" t="s">
        <v>21</v>
      </c>
      <c r="P33" s="54">
        <v>6</v>
      </c>
      <c r="Q33" s="59">
        <v>429</v>
      </c>
      <c r="R33" s="59">
        <v>379</v>
      </c>
      <c r="S33" s="54">
        <v>2</v>
      </c>
      <c r="T33" s="55" t="s">
        <v>54</v>
      </c>
      <c r="U33" s="52">
        <v>6</v>
      </c>
      <c r="V33" s="59">
        <v>431</v>
      </c>
      <c r="W33" s="59">
        <v>381</v>
      </c>
      <c r="X33" s="54">
        <v>2</v>
      </c>
      <c r="Y33" s="55" t="s">
        <v>54</v>
      </c>
      <c r="Z33" s="71"/>
      <c r="AA33" s="87"/>
      <c r="AB33" s="87"/>
      <c r="AC33" s="71"/>
      <c r="AD33" s="70"/>
      <c r="AE33" s="71"/>
      <c r="AF33" s="87"/>
      <c r="AG33" s="87"/>
      <c r="AH33" s="71"/>
      <c r="AI33" s="70"/>
    </row>
    <row r="34" spans="1:35" ht="12">
      <c r="A34" s="52">
        <v>6</v>
      </c>
      <c r="B34" s="54">
        <v>2</v>
      </c>
      <c r="C34" s="59">
        <v>393</v>
      </c>
      <c r="D34" s="59">
        <v>358</v>
      </c>
      <c r="E34" s="55" t="s">
        <v>21</v>
      </c>
      <c r="F34" s="52">
        <v>6</v>
      </c>
      <c r="G34" s="59">
        <v>403</v>
      </c>
      <c r="H34" s="59">
        <v>364</v>
      </c>
      <c r="I34" s="54">
        <v>2</v>
      </c>
      <c r="J34" s="55" t="s">
        <v>54</v>
      </c>
      <c r="K34" s="52">
        <v>6</v>
      </c>
      <c r="L34" s="59">
        <v>403</v>
      </c>
      <c r="M34" s="88">
        <v>364</v>
      </c>
      <c r="N34" s="54">
        <v>2</v>
      </c>
      <c r="O34" s="82" t="s">
        <v>21</v>
      </c>
      <c r="P34" s="54">
        <v>5</v>
      </c>
      <c r="Q34" s="59">
        <v>406</v>
      </c>
      <c r="R34" s="59">
        <v>366</v>
      </c>
      <c r="S34" s="54">
        <v>2</v>
      </c>
      <c r="T34" s="55" t="s">
        <v>54</v>
      </c>
      <c r="U34" s="52">
        <v>5</v>
      </c>
      <c r="V34" s="59">
        <v>415</v>
      </c>
      <c r="W34" s="59">
        <v>369</v>
      </c>
      <c r="X34" s="54">
        <v>2</v>
      </c>
      <c r="Y34" s="55" t="s">
        <v>54</v>
      </c>
      <c r="Z34" s="71"/>
      <c r="AA34" s="87"/>
      <c r="AB34" s="87"/>
      <c r="AC34" s="71"/>
      <c r="AD34" s="70"/>
      <c r="AE34" s="71"/>
      <c r="AF34" s="87"/>
      <c r="AG34" s="87"/>
      <c r="AH34" s="71"/>
      <c r="AI34" s="70"/>
    </row>
    <row r="35" spans="1:35" ht="12">
      <c r="A35" s="52">
        <v>5</v>
      </c>
      <c r="B35" s="54">
        <v>2</v>
      </c>
      <c r="C35" s="59">
        <v>374</v>
      </c>
      <c r="D35" s="59">
        <v>345</v>
      </c>
      <c r="E35" s="55" t="s">
        <v>21</v>
      </c>
      <c r="F35" s="52">
        <v>5</v>
      </c>
      <c r="G35" s="59">
        <v>381</v>
      </c>
      <c r="H35" s="59">
        <v>351</v>
      </c>
      <c r="I35" s="54">
        <v>2</v>
      </c>
      <c r="J35" s="55" t="s">
        <v>54</v>
      </c>
      <c r="K35" s="52">
        <v>5</v>
      </c>
      <c r="L35" s="59">
        <v>381</v>
      </c>
      <c r="M35" s="88">
        <v>351</v>
      </c>
      <c r="N35" s="54">
        <v>2</v>
      </c>
      <c r="O35" s="82" t="s">
        <v>21</v>
      </c>
      <c r="P35" s="54">
        <v>4</v>
      </c>
      <c r="Q35" s="59">
        <v>389</v>
      </c>
      <c r="R35" s="53">
        <v>356</v>
      </c>
      <c r="S35" s="54">
        <v>2</v>
      </c>
      <c r="T35" s="55" t="s">
        <v>54</v>
      </c>
      <c r="U35" s="52">
        <v>4</v>
      </c>
      <c r="V35" s="53">
        <v>397</v>
      </c>
      <c r="W35" s="53">
        <v>361</v>
      </c>
      <c r="X35" s="54">
        <v>2</v>
      </c>
      <c r="Y35" s="55" t="s">
        <v>54</v>
      </c>
      <c r="Z35" s="71"/>
      <c r="AA35" s="71"/>
      <c r="AB35" s="71"/>
      <c r="AC35" s="71"/>
      <c r="AD35" s="70"/>
      <c r="AE35" s="71"/>
      <c r="AF35" s="71"/>
      <c r="AG35" s="71"/>
      <c r="AH35" s="71"/>
      <c r="AI35" s="70"/>
    </row>
    <row r="36" spans="1:35" ht="12">
      <c r="A36" s="52">
        <v>4</v>
      </c>
      <c r="B36" s="54">
        <v>2</v>
      </c>
      <c r="C36" s="53">
        <v>360</v>
      </c>
      <c r="D36" s="53">
        <v>335</v>
      </c>
      <c r="E36" s="55" t="s">
        <v>21</v>
      </c>
      <c r="F36" s="52">
        <v>4</v>
      </c>
      <c r="G36" s="53">
        <v>369</v>
      </c>
      <c r="H36" s="53">
        <v>341</v>
      </c>
      <c r="I36" s="54">
        <v>2</v>
      </c>
      <c r="J36" s="55" t="s">
        <v>54</v>
      </c>
      <c r="K36" s="52">
        <v>4</v>
      </c>
      <c r="L36" s="53">
        <v>369</v>
      </c>
      <c r="M36" s="81">
        <v>341</v>
      </c>
      <c r="N36" s="54">
        <v>2</v>
      </c>
      <c r="O36" s="82" t="s">
        <v>21</v>
      </c>
      <c r="P36" s="54">
        <v>3</v>
      </c>
      <c r="Q36" s="53">
        <v>379</v>
      </c>
      <c r="R36" s="53">
        <v>349</v>
      </c>
      <c r="S36" s="54">
        <v>2</v>
      </c>
      <c r="T36" s="55" t="s">
        <v>54</v>
      </c>
      <c r="U36" s="52">
        <v>3</v>
      </c>
      <c r="V36" s="53">
        <v>388</v>
      </c>
      <c r="W36" s="53">
        <v>355</v>
      </c>
      <c r="X36" s="54">
        <v>2</v>
      </c>
      <c r="Y36" s="55" t="s">
        <v>54</v>
      </c>
      <c r="Z36" s="71"/>
      <c r="AA36" s="71"/>
      <c r="AB36" s="71"/>
      <c r="AC36" s="71"/>
      <c r="AD36" s="70"/>
      <c r="AE36" s="71"/>
      <c r="AF36" s="71"/>
      <c r="AG36" s="71"/>
      <c r="AH36" s="71"/>
      <c r="AI36" s="70"/>
    </row>
    <row r="37" spans="1:35" ht="12">
      <c r="A37" s="52">
        <v>3</v>
      </c>
      <c r="B37" s="54">
        <v>2</v>
      </c>
      <c r="C37" s="53">
        <v>356</v>
      </c>
      <c r="D37" s="53">
        <v>332</v>
      </c>
      <c r="E37" s="55" t="s">
        <v>21</v>
      </c>
      <c r="F37" s="52">
        <v>3</v>
      </c>
      <c r="G37" s="53">
        <v>365</v>
      </c>
      <c r="H37" s="53">
        <v>338</v>
      </c>
      <c r="I37" s="54">
        <v>2</v>
      </c>
      <c r="J37" s="55" t="s">
        <v>54</v>
      </c>
      <c r="K37" s="52">
        <v>3</v>
      </c>
      <c r="L37" s="53">
        <v>365</v>
      </c>
      <c r="M37" s="81">
        <v>338</v>
      </c>
      <c r="N37" s="54">
        <v>2</v>
      </c>
      <c r="O37" s="82" t="s">
        <v>21</v>
      </c>
      <c r="P37" s="54">
        <v>2</v>
      </c>
      <c r="Q37" s="53">
        <v>373</v>
      </c>
      <c r="R37" s="53">
        <v>344</v>
      </c>
      <c r="S37" s="54">
        <v>2</v>
      </c>
      <c r="T37" s="55" t="s">
        <v>54</v>
      </c>
      <c r="U37" s="52">
        <v>2</v>
      </c>
      <c r="V37" s="53">
        <v>379</v>
      </c>
      <c r="W37" s="53">
        <v>349</v>
      </c>
      <c r="X37" s="54">
        <v>2</v>
      </c>
      <c r="Y37" s="55" t="s">
        <v>54</v>
      </c>
      <c r="Z37" s="71"/>
      <c r="AA37" s="71"/>
      <c r="AB37" s="71"/>
      <c r="AC37" s="71"/>
      <c r="AD37" s="70"/>
      <c r="AE37" s="71"/>
      <c r="AF37" s="71"/>
      <c r="AG37" s="71"/>
      <c r="AH37" s="71"/>
      <c r="AI37" s="70"/>
    </row>
    <row r="38" spans="1:35" ht="12">
      <c r="A38" s="52">
        <v>2</v>
      </c>
      <c r="B38" s="54">
        <v>2</v>
      </c>
      <c r="C38" s="53">
        <v>352</v>
      </c>
      <c r="D38" s="53">
        <v>329</v>
      </c>
      <c r="E38" s="55" t="s">
        <v>21</v>
      </c>
      <c r="F38" s="52">
        <v>2</v>
      </c>
      <c r="G38" s="53">
        <v>361</v>
      </c>
      <c r="H38" s="53">
        <v>335</v>
      </c>
      <c r="I38" s="54">
        <v>2</v>
      </c>
      <c r="J38" s="55" t="s">
        <v>54</v>
      </c>
      <c r="K38" s="52">
        <v>2</v>
      </c>
      <c r="L38" s="53">
        <v>361</v>
      </c>
      <c r="M38" s="81">
        <v>335</v>
      </c>
      <c r="N38" s="54">
        <v>2</v>
      </c>
      <c r="O38" s="82" t="s">
        <v>21</v>
      </c>
      <c r="P38" s="54">
        <v>1</v>
      </c>
      <c r="Q38" s="53">
        <v>366</v>
      </c>
      <c r="R38" s="53">
        <v>339</v>
      </c>
      <c r="S38" s="54">
        <v>2</v>
      </c>
      <c r="T38" s="55" t="s">
        <v>54</v>
      </c>
      <c r="U38" s="62">
        <v>1</v>
      </c>
      <c r="V38" s="63">
        <v>372</v>
      </c>
      <c r="W38" s="63">
        <v>343</v>
      </c>
      <c r="X38" s="64">
        <v>2</v>
      </c>
      <c r="Y38" s="65" t="s">
        <v>54</v>
      </c>
      <c r="Z38" s="71"/>
      <c r="AA38" s="71"/>
      <c r="AB38" s="71"/>
      <c r="AC38" s="71"/>
      <c r="AD38" s="70"/>
      <c r="AE38" s="71"/>
      <c r="AF38" s="71"/>
      <c r="AG38" s="71"/>
      <c r="AH38" s="71"/>
      <c r="AI38" s="70"/>
    </row>
    <row r="39" spans="1:35" ht="12">
      <c r="A39" s="62">
        <v>1</v>
      </c>
      <c r="B39" s="64">
        <v>1</v>
      </c>
      <c r="C39" s="63">
        <v>348</v>
      </c>
      <c r="D39" s="63">
        <v>326</v>
      </c>
      <c r="E39" s="65" t="s">
        <v>21</v>
      </c>
      <c r="F39" s="62">
        <v>1</v>
      </c>
      <c r="G39" s="63">
        <v>357</v>
      </c>
      <c r="H39" s="63">
        <v>332</v>
      </c>
      <c r="I39" s="64">
        <v>1</v>
      </c>
      <c r="J39" s="65" t="s">
        <v>54</v>
      </c>
      <c r="K39" s="62">
        <v>1</v>
      </c>
      <c r="L39" s="63">
        <v>357</v>
      </c>
      <c r="M39" s="89">
        <v>332</v>
      </c>
      <c r="N39" s="64">
        <v>1</v>
      </c>
      <c r="O39" s="90" t="s">
        <v>21</v>
      </c>
      <c r="P39" s="64">
        <v>1</v>
      </c>
      <c r="Q39" s="63">
        <v>366</v>
      </c>
      <c r="R39" s="63">
        <v>339</v>
      </c>
      <c r="S39" s="64">
        <v>2</v>
      </c>
      <c r="T39" s="65" t="s">
        <v>62</v>
      </c>
      <c r="Z39" s="71"/>
      <c r="AA39" s="71"/>
      <c r="AB39" s="71"/>
      <c r="AC39" s="71"/>
      <c r="AD39" s="71"/>
      <c r="AE39" s="71"/>
      <c r="AF39" s="71"/>
      <c r="AG39" s="71"/>
      <c r="AH39" s="71"/>
      <c r="AI39" s="71"/>
    </row>
  </sheetData>
  <sheetProtection sheet="1"/>
  <mergeCells count="25">
    <mergeCell ref="U24:Y24"/>
    <mergeCell ref="Z24:AD24"/>
    <mergeCell ref="AE24:AI24"/>
    <mergeCell ref="A24:E24"/>
    <mergeCell ref="F24:J24"/>
    <mergeCell ref="K24:O24"/>
    <mergeCell ref="P24:T24"/>
    <mergeCell ref="Z23:AD23"/>
    <mergeCell ref="AE23:AI23"/>
    <mergeCell ref="F5:J5"/>
    <mergeCell ref="K5:O5"/>
    <mergeCell ref="A22:Y22"/>
    <mergeCell ref="A23:J23"/>
    <mergeCell ref="K23:T23"/>
    <mergeCell ref="U23:Y23"/>
    <mergeCell ref="P5:T5"/>
    <mergeCell ref="U5:Y5"/>
    <mergeCell ref="Z5:AD5"/>
    <mergeCell ref="AE5:AI5"/>
    <mergeCell ref="F3:AI3"/>
    <mergeCell ref="F4:J4"/>
    <mergeCell ref="K4:T4"/>
    <mergeCell ref="U4:Y4"/>
    <mergeCell ref="Z4:AD4"/>
    <mergeCell ref="AE4:AI4"/>
  </mergeCells>
  <printOptions/>
  <pageMargins left="0.7479166666666667" right="0.7479166666666667" top="0.9840277777777777" bottom="0.9840277777777777" header="0.5118055555555555" footer="0.5118055555555555"/>
  <pageSetup fitToHeight="0" fitToWidth="1" horizontalDpi="300" verticalDpi="300" orientation="landscape" paperSize="8" scale="68"/>
  <rowBreaks count="1" manualBreakCount="1">
    <brk id="3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U82"/>
  <sheetViews>
    <sheetView workbookViewId="0" topLeftCell="A1">
      <selection activeCell="D78" sqref="D78"/>
    </sheetView>
  </sheetViews>
  <sheetFormatPr defaultColWidth="11.57421875" defaultRowHeight="12.75"/>
  <cols>
    <col min="1" max="1" width="48.140625" style="38" bestFit="1" customWidth="1"/>
    <col min="2" max="2" width="13.00390625" style="38" bestFit="1" customWidth="1"/>
    <col min="3" max="3" width="15.28125" style="38" bestFit="1" customWidth="1"/>
    <col min="4" max="4" width="10.421875" style="38" bestFit="1" customWidth="1"/>
    <col min="5" max="5" width="15.28125" style="38" bestFit="1" customWidth="1"/>
    <col min="6" max="6" width="10.421875" style="38" bestFit="1" customWidth="1"/>
    <col min="7" max="7" width="10.140625" style="38" bestFit="1" customWidth="1"/>
    <col min="8" max="8" width="11.140625" style="38" bestFit="1" customWidth="1"/>
    <col min="9" max="10" width="6.421875" style="38" bestFit="1" customWidth="1"/>
    <col min="11" max="16384" width="11.421875" style="38" customWidth="1"/>
  </cols>
  <sheetData>
    <row r="1" spans="1:2" ht="15">
      <c r="A1" s="270">
        <f>'simulation carrières'!A1</f>
        <v>0</v>
      </c>
      <c r="B1" s="271" t="str">
        <f>'simulation carrières'!B1</f>
        <v>à compléter</v>
      </c>
    </row>
    <row r="2" spans="1:2" ht="15">
      <c r="A2" s="270" t="str">
        <f>'simulation carrières'!A2</f>
        <v>Prénom :</v>
      </c>
      <c r="B2" s="38" t="str">
        <f>'simulation carrières'!B2</f>
        <v>à compléter</v>
      </c>
    </row>
    <row r="3" spans="1:2" ht="15">
      <c r="A3" s="272" t="str">
        <f>'simulation carrières'!A3</f>
        <v>Échelle du grade détenu en catégorie C</v>
      </c>
      <c r="B3" s="273">
        <f>'simulation carrières'!B3</f>
        <v>6</v>
      </c>
    </row>
    <row r="4" spans="1:2" ht="15">
      <c r="A4" s="272" t="str">
        <f>'simulation carrières'!A6</f>
        <v>ÉCHELON détenu en tant que cat. C Échelle 6</v>
      </c>
      <c r="B4" s="273">
        <f>'simulation carrières'!B6</f>
        <v>7</v>
      </c>
    </row>
    <row r="5" spans="1:2" ht="15">
      <c r="A5" s="272" t="str">
        <f>'simulation carrières'!A7</f>
        <v>Date d’effet</v>
      </c>
      <c r="B5" s="274">
        <f>'simulation carrières'!B7</f>
        <v>41671</v>
      </c>
    </row>
    <row r="6" spans="2:4" ht="15">
      <c r="B6" s="273" t="str">
        <f>'simulation carrières'!B9</f>
        <v>A</v>
      </c>
      <c r="C6" s="273" t="str">
        <f>'simulation carrières'!C9</f>
        <v>M</v>
      </c>
      <c r="D6" s="273" t="str">
        <f>'simulation carrières'!D9</f>
        <v>J</v>
      </c>
    </row>
    <row r="7" spans="1:4" ht="15">
      <c r="A7" s="270" t="str">
        <f>'simulation carrières'!A10</f>
        <v>Reliquat d’ancienneté détenu au 1/2/2014</v>
      </c>
      <c r="B7" s="273">
        <f>'simulation carrières'!B10</f>
        <v>0</v>
      </c>
      <c r="C7" s="273">
        <f>'simulation carrières'!C10</f>
        <v>0</v>
      </c>
      <c r="D7" s="273">
        <f>'simulation carrières'!D10</f>
        <v>0</v>
      </c>
    </row>
    <row r="8" spans="1:4" ht="15">
      <c r="A8" s="275"/>
      <c r="B8" s="276"/>
      <c r="C8" s="276"/>
      <c r="D8" s="276"/>
    </row>
    <row r="9" spans="1:4" ht="15">
      <c r="A9" s="275"/>
      <c r="B9" s="276"/>
      <c r="C9" s="276"/>
      <c r="D9" s="276"/>
    </row>
    <row r="10" spans="1:4" ht="15">
      <c r="A10" s="275"/>
      <c r="B10" s="276"/>
      <c r="C10" s="276"/>
      <c r="D10" s="276"/>
    </row>
    <row r="11" spans="1:4" ht="15">
      <c r="A11" s="275"/>
      <c r="B11" s="276"/>
      <c r="C11" s="276"/>
      <c r="D11" s="276"/>
    </row>
    <row r="12" spans="1:4" ht="15">
      <c r="A12" s="275"/>
      <c r="B12" s="276"/>
      <c r="C12" s="276"/>
      <c r="D12" s="276"/>
    </row>
    <row r="13" spans="1:4" ht="15">
      <c r="A13" s="275"/>
      <c r="B13" s="276"/>
      <c r="C13" s="276"/>
      <c r="D13" s="276"/>
    </row>
    <row r="14" spans="1:4" ht="15">
      <c r="A14" s="275"/>
      <c r="B14" s="276"/>
      <c r="C14" s="276"/>
      <c r="D14" s="276"/>
    </row>
    <row r="15" spans="1:13" ht="15">
      <c r="A15" s="462" t="s">
        <v>183</v>
      </c>
      <c r="B15" s="463"/>
      <c r="C15" s="463"/>
      <c r="D15" s="463"/>
      <c r="E15" s="463"/>
      <c r="F15" s="463"/>
      <c r="G15" s="463"/>
      <c r="H15" s="463"/>
      <c r="I15" s="463"/>
      <c r="J15" s="463"/>
      <c r="K15" s="269"/>
      <c r="L15" s="269"/>
      <c r="M15" s="269"/>
    </row>
    <row r="16" spans="1:13" ht="15">
      <c r="A16" s="463"/>
      <c r="B16" s="463"/>
      <c r="C16" s="463"/>
      <c r="D16" s="463"/>
      <c r="E16" s="463"/>
      <c r="F16" s="463"/>
      <c r="G16" s="463"/>
      <c r="H16" s="463"/>
      <c r="I16" s="463"/>
      <c r="J16" s="463"/>
      <c r="K16" s="269"/>
      <c r="L16" s="269"/>
      <c r="M16" s="269"/>
    </row>
    <row r="17" spans="1:13" ht="15">
      <c r="A17" s="463"/>
      <c r="B17" s="463"/>
      <c r="C17" s="463"/>
      <c r="D17" s="463"/>
      <c r="E17" s="463"/>
      <c r="F17" s="463"/>
      <c r="G17" s="463"/>
      <c r="H17" s="463"/>
      <c r="I17" s="463"/>
      <c r="J17" s="463"/>
      <c r="K17" s="269"/>
      <c r="L17" s="269"/>
      <c r="M17" s="269"/>
    </row>
    <row r="18" spans="1:13" ht="15">
      <c r="A18" s="463"/>
      <c r="B18" s="463"/>
      <c r="C18" s="463"/>
      <c r="D18" s="463"/>
      <c r="E18" s="463"/>
      <c r="F18" s="463"/>
      <c r="G18" s="463"/>
      <c r="H18" s="463"/>
      <c r="I18" s="463"/>
      <c r="J18" s="463"/>
      <c r="K18" s="269"/>
      <c r="L18" s="269"/>
      <c r="M18" s="269"/>
    </row>
    <row r="19" spans="1:13" ht="15">
      <c r="A19" s="463"/>
      <c r="B19" s="463"/>
      <c r="C19" s="463"/>
      <c r="D19" s="463"/>
      <c r="E19" s="463"/>
      <c r="F19" s="463"/>
      <c r="G19" s="463"/>
      <c r="H19" s="463"/>
      <c r="I19" s="463"/>
      <c r="J19" s="463"/>
      <c r="K19" s="269"/>
      <c r="L19" s="269"/>
      <c r="M19" s="269"/>
    </row>
    <row r="20" spans="1:13" ht="15">
      <c r="A20" s="463"/>
      <c r="B20" s="463"/>
      <c r="C20" s="463"/>
      <c r="D20" s="463"/>
      <c r="E20" s="463"/>
      <c r="F20" s="463"/>
      <c r="G20" s="463"/>
      <c r="H20" s="463"/>
      <c r="I20" s="463"/>
      <c r="J20" s="463"/>
      <c r="K20" s="269"/>
      <c r="L20" s="269"/>
      <c r="M20" s="269"/>
    </row>
    <row r="21" spans="1:13" ht="15">
      <c r="A21" s="463"/>
      <c r="B21" s="463"/>
      <c r="C21" s="463"/>
      <c r="D21" s="463"/>
      <c r="E21" s="463"/>
      <c r="F21" s="463"/>
      <c r="G21" s="463"/>
      <c r="H21" s="463"/>
      <c r="I21" s="463"/>
      <c r="J21" s="463"/>
      <c r="K21" s="269"/>
      <c r="L21" s="269"/>
      <c r="M21" s="269"/>
    </row>
    <row r="22" spans="1:13" ht="15">
      <c r="A22" s="463"/>
      <c r="B22" s="463"/>
      <c r="C22" s="463"/>
      <c r="D22" s="463"/>
      <c r="E22" s="463"/>
      <c r="F22" s="463"/>
      <c r="G22" s="463"/>
      <c r="H22" s="463"/>
      <c r="I22" s="463"/>
      <c r="J22" s="463"/>
      <c r="K22" s="269"/>
      <c r="L22" s="269"/>
      <c r="M22" s="269"/>
    </row>
    <row r="23" spans="1:13" ht="15">
      <c r="A23" s="463"/>
      <c r="B23" s="463"/>
      <c r="C23" s="463"/>
      <c r="D23" s="463"/>
      <c r="E23" s="463"/>
      <c r="F23" s="463"/>
      <c r="G23" s="463"/>
      <c r="H23" s="463"/>
      <c r="I23" s="463"/>
      <c r="J23" s="463"/>
      <c r="K23" s="269"/>
      <c r="L23" s="269"/>
      <c r="M23" s="269"/>
    </row>
    <row r="24" spans="1:13" ht="15">
      <c r="A24" s="463"/>
      <c r="B24" s="463"/>
      <c r="C24" s="463"/>
      <c r="D24" s="463"/>
      <c r="E24" s="463"/>
      <c r="F24" s="463"/>
      <c r="G24" s="463"/>
      <c r="H24" s="463"/>
      <c r="I24" s="463"/>
      <c r="J24" s="463"/>
      <c r="K24" s="269"/>
      <c r="L24" s="269"/>
      <c r="M24" s="269"/>
    </row>
    <row r="25" spans="1:10" ht="15">
      <c r="A25" s="463"/>
      <c r="B25" s="463"/>
      <c r="C25" s="463"/>
      <c r="D25" s="463"/>
      <c r="E25" s="463"/>
      <c r="F25" s="463"/>
      <c r="G25" s="463"/>
      <c r="H25" s="463"/>
      <c r="I25" s="463"/>
      <c r="J25" s="463"/>
    </row>
    <row r="26" spans="1:10" ht="15">
      <c r="A26" s="463"/>
      <c r="B26" s="463"/>
      <c r="C26" s="463"/>
      <c r="D26" s="463"/>
      <c r="E26" s="463"/>
      <c r="F26" s="463"/>
      <c r="G26" s="463"/>
      <c r="H26" s="463"/>
      <c r="I26" s="463"/>
      <c r="J26" s="463"/>
    </row>
    <row r="27" spans="1:10" ht="15">
      <c r="A27" s="422"/>
      <c r="B27" s="422"/>
      <c r="C27" s="422"/>
      <c r="D27" s="422"/>
      <c r="E27" s="422"/>
      <c r="F27" s="422"/>
      <c r="G27" s="422"/>
      <c r="H27" s="422"/>
      <c r="I27" s="422"/>
      <c r="J27" s="422"/>
    </row>
    <row r="28" spans="1:10" ht="16.5">
      <c r="A28" s="307"/>
      <c r="B28" s="307"/>
      <c r="C28" s="307"/>
      <c r="D28" s="307"/>
      <c r="E28" s="307"/>
      <c r="F28" s="307"/>
      <c r="G28" s="307"/>
      <c r="H28" s="307"/>
      <c r="I28" s="307"/>
      <c r="J28" s="307"/>
    </row>
    <row r="30" ht="15.75" thickBot="1"/>
    <row r="31" spans="1:9" ht="24.75" customHeight="1" thickBot="1">
      <c r="A31" s="473" t="s">
        <v>173</v>
      </c>
      <c r="B31" s="459" t="s">
        <v>175</v>
      </c>
      <c r="C31" s="460"/>
      <c r="D31" s="460"/>
      <c r="E31" s="460"/>
      <c r="F31" s="460"/>
      <c r="G31" s="460"/>
      <c r="H31" s="460"/>
      <c r="I31" s="461"/>
    </row>
    <row r="32" spans="1:9" ht="15.75" thickBot="1">
      <c r="A32" s="474"/>
      <c r="B32" s="277"/>
      <c r="C32" s="278"/>
      <c r="D32" s="278"/>
      <c r="E32" s="278"/>
      <c r="F32" s="278"/>
      <c r="G32" s="278"/>
      <c r="H32" s="278"/>
      <c r="I32" s="279"/>
    </row>
    <row r="33" spans="1:9" ht="15.75" thickBot="1">
      <c r="A33" s="474"/>
      <c r="B33" s="481">
        <f>'déroulé en C et en B'!B67</f>
        <v>2016</v>
      </c>
      <c r="C33" s="482"/>
      <c r="D33" s="482"/>
      <c r="E33" s="482"/>
      <c r="F33" s="482"/>
      <c r="G33" s="482"/>
      <c r="H33" s="483"/>
      <c r="I33" s="279"/>
    </row>
    <row r="34" spans="1:9" ht="15">
      <c r="A34" s="474"/>
      <c r="B34" s="280" t="str">
        <f>'déroulé en C et en B'!B68</f>
        <v>Echelon</v>
      </c>
      <c r="C34" s="281" t="str">
        <f>'déroulé en C et en B'!C68</f>
        <v>IB</v>
      </c>
      <c r="D34" s="281" t="str">
        <f>'déroulé en C et en B'!D68</f>
        <v>IM</v>
      </c>
      <c r="E34" s="281" t="str">
        <f>'déroulé en C et en B'!E68</f>
        <v>durée échelon</v>
      </c>
      <c r="F34" s="281" t="str">
        <f>'déroulé en C et en B'!F68</f>
        <v>date effet</v>
      </c>
      <c r="G34" s="281" t="str">
        <f>'déroulé en C et en B'!G68</f>
        <v>jusqu'au</v>
      </c>
      <c r="H34" s="282" t="str">
        <f>'déroulé en C et en B'!H68</f>
        <v>nbre mois</v>
      </c>
      <c r="I34" s="279"/>
    </row>
    <row r="35" spans="1:9" ht="13.5" customHeight="1">
      <c r="A35" s="474"/>
      <c r="B35" s="283">
        <f>'déroulé en C et en B'!B69</f>
        <v>7</v>
      </c>
      <c r="C35" s="284">
        <f>'déroulé en C et en B'!C69</f>
        <v>488</v>
      </c>
      <c r="D35" s="284">
        <f>'déroulé en C et en B'!D69</f>
        <v>422</v>
      </c>
      <c r="E35" s="284">
        <f>'déroulé en C et en B'!E69</f>
        <v>4</v>
      </c>
      <c r="F35" s="285">
        <f>'déroulé en C et en B'!F69</f>
        <v>41671</v>
      </c>
      <c r="G35" s="285">
        <f>'déroulé en C et en B'!G69</f>
        <v>43131</v>
      </c>
      <c r="H35" s="286">
        <f>'déroulé en C et en B'!H69</f>
        <v>12</v>
      </c>
      <c r="I35" s="279"/>
    </row>
    <row r="36" spans="1:9" ht="12.75" customHeight="1" thickBot="1">
      <c r="A36" s="474"/>
      <c r="B36" s="287">
        <f>'déroulé en C et en B'!B70</f>
      </c>
      <c r="C36" s="288">
        <f>'déroulé en C et en B'!C70</f>
      </c>
      <c r="D36" s="288">
        <f>'déroulé en C et en B'!D70</f>
      </c>
      <c r="E36" s="288">
        <f>'déroulé en C et en B'!E70</f>
      </c>
      <c r="F36" s="289">
        <f>'déroulé en C et en B'!F70</f>
      </c>
      <c r="G36" s="289">
        <f>'déroulé en C et en B'!G70</f>
      </c>
      <c r="H36" s="290">
        <f>'déroulé en C et en B'!H70</f>
      </c>
      <c r="I36" s="279"/>
    </row>
    <row r="37" spans="1:9" ht="15">
      <c r="A37" s="474"/>
      <c r="B37" s="277"/>
      <c r="C37" s="278"/>
      <c r="D37" s="278"/>
      <c r="E37" s="278"/>
      <c r="F37" s="278"/>
      <c r="G37" s="278"/>
      <c r="H37" s="278"/>
      <c r="I37" s="279"/>
    </row>
    <row r="38" spans="2:9" ht="15.75" thickBot="1">
      <c r="B38" s="277"/>
      <c r="C38" s="278"/>
      <c r="D38" s="278"/>
      <c r="E38" s="278"/>
      <c r="F38" s="278"/>
      <c r="G38" s="278"/>
      <c r="H38" s="278"/>
      <c r="I38" s="279"/>
    </row>
    <row r="39" spans="2:9" ht="15.75" thickBot="1">
      <c r="B39" s="475" t="str">
        <f>'déroulé en C et en B'!B73</f>
        <v>à partir de 2017</v>
      </c>
      <c r="C39" s="476"/>
      <c r="D39" s="476"/>
      <c r="E39" s="476"/>
      <c r="F39" s="476"/>
      <c r="G39" s="476"/>
      <c r="H39" s="476"/>
      <c r="I39" s="477"/>
    </row>
    <row r="40" spans="2:9" ht="15">
      <c r="B40" s="280" t="str">
        <f>'déroulé en C et en B'!B74</f>
        <v>Echelon</v>
      </c>
      <c r="C40" s="281" t="str">
        <f>'déroulé en C et en B'!C74</f>
        <v>durée échelon</v>
      </c>
      <c r="D40" s="281" t="str">
        <f>'déroulé en C et en B'!D74</f>
        <v>date effet</v>
      </c>
      <c r="E40" s="281" t="str">
        <f>'déroulé en C et en B'!E74</f>
        <v>jusqu'au</v>
      </c>
      <c r="F40" s="470" t="str">
        <f>'déroulé en C et en B'!F74</f>
        <v>années de prise en compte de l'échelon</v>
      </c>
      <c r="G40" s="471"/>
      <c r="H40" s="471"/>
      <c r="I40" s="472"/>
    </row>
    <row r="41" spans="2:9" ht="15">
      <c r="B41" s="283">
        <f>'déroulé en C et en B'!B75</f>
        <v>8</v>
      </c>
      <c r="C41" s="284">
        <f>'déroulé en C et en B'!C75</f>
        <v>3</v>
      </c>
      <c r="D41" s="285">
        <f>'déroulé en C et en B'!D75</f>
        <v>42736</v>
      </c>
      <c r="E41" s="285">
        <f>'déroulé en C et en B'!E75</f>
        <v>42960</v>
      </c>
      <c r="F41" s="284">
        <f>'déroulé en C et en B'!F75</f>
        <v>2017</v>
      </c>
      <c r="G41" s="284">
        <f>'déroulé en C et en B'!G75</f>
      </c>
      <c r="H41" s="284">
        <f>'déroulé en C et en B'!H75</f>
      </c>
      <c r="I41" s="286">
        <f>'déroulé en C et en B'!I75</f>
      </c>
    </row>
    <row r="42" spans="2:9" ht="15">
      <c r="B42" s="283">
        <f>'déroulé en C et en B'!B76</f>
        <v>9</v>
      </c>
      <c r="C42" s="284">
        <f>'déroulé en C et en B'!C76</f>
        <v>3</v>
      </c>
      <c r="D42" s="285">
        <f>'déroulé en C et en B'!D76</f>
        <v>42961</v>
      </c>
      <c r="E42" s="285">
        <f>'déroulé en C et en B'!E76</f>
        <v>44056</v>
      </c>
      <c r="F42" s="284">
        <f>'déroulé en C et en B'!F76</f>
        <v>2017</v>
      </c>
      <c r="G42" s="284">
        <f>'déroulé en C et en B'!G76</f>
        <v>2018</v>
      </c>
      <c r="H42" s="284">
        <f>'déroulé en C et en B'!H76</f>
        <v>2019</v>
      </c>
      <c r="I42" s="286">
        <f>'déroulé en C et en B'!I76</f>
        <v>2020</v>
      </c>
    </row>
    <row r="43" spans="2:9" ht="15">
      <c r="B43" s="283">
        <f>'déroulé en C et en B'!B77</f>
        <v>10</v>
      </c>
      <c r="C43" s="284">
        <f>'déroulé en C et en B'!C77</f>
      </c>
      <c r="D43" s="285">
        <f>'déroulé en C et en B'!D77</f>
        <v>44057</v>
      </c>
      <c r="E43" s="285">
        <f>'déroulé en C et en B'!E77</f>
      </c>
      <c r="F43" s="284">
        <f>'déroulé en C et en B'!F77</f>
        <v>2020</v>
      </c>
      <c r="G43" s="284">
        <f>'déroulé en C et en B'!G77</f>
      </c>
      <c r="H43" s="284">
        <f>'déroulé en C et en B'!H77</f>
      </c>
      <c r="I43" s="286">
        <f>'déroulé en C et en B'!I77</f>
      </c>
    </row>
    <row r="44" spans="2:9" ht="15">
      <c r="B44" s="283">
        <f>'déroulé en C et en B'!B78</f>
      </c>
      <c r="C44" s="284">
        <f>'déroulé en C et en B'!C78</f>
      </c>
      <c r="D44" s="285">
        <f>'déroulé en C et en B'!D78</f>
      </c>
      <c r="E44" s="285">
        <f>'déroulé en C et en B'!E78</f>
      </c>
      <c r="F44" s="284">
        <f>'déroulé en C et en B'!F78</f>
      </c>
      <c r="G44" s="284">
        <f>'déroulé en C et en B'!G78</f>
      </c>
      <c r="H44" s="284">
        <f>'déroulé en C et en B'!H78</f>
      </c>
      <c r="I44" s="286">
        <f>'déroulé en C et en B'!I78</f>
      </c>
    </row>
    <row r="45" spans="2:9" ht="15">
      <c r="B45" s="283">
        <f>'déroulé en C et en B'!B79</f>
      </c>
      <c r="C45" s="284">
        <f>'déroulé en C et en B'!C79</f>
      </c>
      <c r="D45" s="285">
        <f>'déroulé en C et en B'!D79</f>
      </c>
      <c r="E45" s="285">
        <f>'déroulé en C et en B'!E79</f>
      </c>
      <c r="F45" s="284">
        <f>'déroulé en C et en B'!F79</f>
      </c>
      <c r="G45" s="284">
        <f>'déroulé en C et en B'!G79</f>
      </c>
      <c r="H45" s="284">
        <f>'déroulé en C et en B'!H79</f>
      </c>
      <c r="I45" s="286">
        <f>'déroulé en C et en B'!I79</f>
      </c>
    </row>
    <row r="46" spans="2:9" ht="15">
      <c r="B46" s="283">
        <f>'déroulé en C et en B'!B80</f>
      </c>
      <c r="C46" s="284">
        <f>'déroulé en C et en B'!C80</f>
      </c>
      <c r="D46" s="285">
        <f>'déroulé en C et en B'!D80</f>
      </c>
      <c r="E46" s="285">
        <f>'déroulé en C et en B'!E80</f>
      </c>
      <c r="F46" s="284">
        <f>'déroulé en C et en B'!F80</f>
      </c>
      <c r="G46" s="284">
        <f>'déroulé en C et en B'!G80</f>
      </c>
      <c r="H46" s="284">
        <f>'déroulé en C et en B'!H80</f>
      </c>
      <c r="I46" s="286">
        <f>'déroulé en C et en B'!I80</f>
      </c>
    </row>
    <row r="47" spans="2:9" ht="15">
      <c r="B47" s="283">
        <f>'déroulé en C et en B'!B81</f>
      </c>
      <c r="C47" s="284">
        <f>'déroulé en C et en B'!C81</f>
      </c>
      <c r="D47" s="285">
        <f>'déroulé en C et en B'!D81</f>
      </c>
      <c r="E47" s="285">
        <f>'déroulé en C et en B'!E81</f>
      </c>
      <c r="F47" s="284">
        <f>'déroulé en C et en B'!F81</f>
      </c>
      <c r="G47" s="284">
        <f>'déroulé en C et en B'!G81</f>
      </c>
      <c r="H47" s="284">
        <f>'déroulé en C et en B'!H81</f>
      </c>
      <c r="I47" s="286">
        <f>'déroulé en C et en B'!I81</f>
      </c>
    </row>
    <row r="48" spans="2:9" ht="15.75" thickBot="1">
      <c r="B48" s="287">
        <f>'déroulé en C et en B'!B82</f>
      </c>
      <c r="C48" s="288">
        <f>'déroulé en C et en B'!C82</f>
      </c>
      <c r="D48" s="289">
        <f>'déroulé en C et en B'!D82</f>
      </c>
      <c r="E48" s="289">
        <f>'déroulé en C et en B'!E82</f>
      </c>
      <c r="F48" s="288">
        <f>'déroulé en C et en B'!F82</f>
      </c>
      <c r="G48" s="288">
        <f>'déroulé en C et en B'!G82</f>
      </c>
      <c r="H48" s="288">
        <f>'déroulé en C et en B'!H82</f>
      </c>
      <c r="I48" s="290">
        <f>'déroulé en C et en B'!I82</f>
      </c>
    </row>
    <row r="52" ht="15.75" thickBot="1"/>
    <row r="53" spans="2:10" ht="24.75" customHeight="1" thickBot="1">
      <c r="B53" s="478" t="s">
        <v>178</v>
      </c>
      <c r="C53" s="479"/>
      <c r="D53" s="479"/>
      <c r="E53" s="479"/>
      <c r="F53" s="479"/>
      <c r="G53" s="479"/>
      <c r="H53" s="479"/>
      <c r="I53" s="479"/>
      <c r="J53" s="480"/>
    </row>
    <row r="54" spans="2:10" ht="15.75" thickBot="1">
      <c r="B54" s="291"/>
      <c r="C54" s="292"/>
      <c r="D54" s="292"/>
      <c r="E54" s="292"/>
      <c r="F54" s="292"/>
      <c r="G54" s="292"/>
      <c r="H54" s="292"/>
      <c r="I54" s="292"/>
      <c r="J54" s="293"/>
    </row>
    <row r="55" spans="2:10" ht="15.75" thickBot="1">
      <c r="B55" s="467">
        <v>2016</v>
      </c>
      <c r="C55" s="468"/>
      <c r="D55" s="468"/>
      <c r="E55" s="468"/>
      <c r="F55" s="468"/>
      <c r="G55" s="468"/>
      <c r="H55" s="469"/>
      <c r="I55" s="292"/>
      <c r="J55" s="293"/>
    </row>
    <row r="56" spans="2:10" ht="15">
      <c r="B56" s="294" t="str">
        <f>'déroulé en C et en B'!T68</f>
        <v>Echelon</v>
      </c>
      <c r="C56" s="295" t="str">
        <f>'déroulé en C et en B'!U68</f>
        <v>IB</v>
      </c>
      <c r="D56" s="295" t="str">
        <f>'déroulé en C et en B'!V68</f>
        <v>IM</v>
      </c>
      <c r="E56" s="295" t="str">
        <f>'déroulé en C et en B'!W68</f>
        <v>durée échelon</v>
      </c>
      <c r="F56" s="295" t="str">
        <f>'déroulé en C et en B'!X68</f>
        <v>date effet</v>
      </c>
      <c r="G56" s="295" t="str">
        <f>'déroulé en C et en B'!Y68</f>
        <v>jusqu'au</v>
      </c>
      <c r="H56" s="296" t="str">
        <f>'déroulé en C et en B'!Z68</f>
        <v>nbre mois</v>
      </c>
      <c r="I56" s="292"/>
      <c r="J56" s="293"/>
    </row>
    <row r="57" spans="2:10" ht="15">
      <c r="B57" s="297">
        <f>'déroulé en C et en B'!T69</f>
        <v>10</v>
      </c>
      <c r="C57" s="298">
        <f>'déroulé en C et en B'!U69</f>
        <v>497</v>
      </c>
      <c r="D57" s="298">
        <f>'déroulé en C et en B'!V69</f>
        <v>428</v>
      </c>
      <c r="E57" s="298">
        <f>'déroulé en C et en B'!W69</f>
        <v>4</v>
      </c>
      <c r="F57" s="299">
        <f>'déroulé en C et en B'!X69</f>
        <v>42370</v>
      </c>
      <c r="G57" s="299">
        <f>'déroulé en C et en B'!Y69</f>
        <v>43119</v>
      </c>
      <c r="H57" s="300">
        <f>'déroulé en C et en B'!Z69</f>
        <v>12</v>
      </c>
      <c r="I57" s="292"/>
      <c r="J57" s="293"/>
    </row>
    <row r="58" spans="2:10" ht="15.75" thickBot="1">
      <c r="B58" s="301">
        <f>'déroulé en C et en B'!T70</f>
      </c>
      <c r="C58" s="302">
        <f>'déroulé en C et en B'!U70</f>
      </c>
      <c r="D58" s="302">
        <f>'déroulé en C et en B'!V70</f>
      </c>
      <c r="E58" s="302">
        <f>'déroulé en C et en B'!W70</f>
      </c>
      <c r="F58" s="303">
        <f>'déroulé en C et en B'!X70</f>
      </c>
      <c r="G58" s="303">
        <f>'déroulé en C et en B'!Y70</f>
      </c>
      <c r="H58" s="304">
        <f>'déroulé en C et en B'!Z70</f>
      </c>
      <c r="I58" s="292"/>
      <c r="J58" s="293"/>
    </row>
    <row r="59" spans="1:10" ht="15">
      <c r="A59" s="473" t="s">
        <v>174</v>
      </c>
      <c r="B59" s="291"/>
      <c r="C59" s="292"/>
      <c r="D59" s="292"/>
      <c r="E59" s="292"/>
      <c r="F59" s="292"/>
      <c r="G59" s="292"/>
      <c r="H59" s="292"/>
      <c r="I59" s="292"/>
      <c r="J59" s="293"/>
    </row>
    <row r="60" spans="1:10" ht="13.5" customHeight="1" thickBot="1">
      <c r="A60" s="473"/>
      <c r="B60" s="291"/>
      <c r="C60" s="292"/>
      <c r="D60" s="292"/>
      <c r="E60" s="292"/>
      <c r="F60" s="292"/>
      <c r="G60" s="292"/>
      <c r="H60" s="292"/>
      <c r="I60" s="292"/>
      <c r="J60" s="293"/>
    </row>
    <row r="61" spans="1:10" ht="13.5" customHeight="1" thickBot="1">
      <c r="A61" s="474"/>
      <c r="B61" s="467" t="s">
        <v>87</v>
      </c>
      <c r="C61" s="468"/>
      <c r="D61" s="468"/>
      <c r="E61" s="468"/>
      <c r="F61" s="468"/>
      <c r="G61" s="468"/>
      <c r="H61" s="468"/>
      <c r="I61" s="468"/>
      <c r="J61" s="469"/>
    </row>
    <row r="62" spans="1:10" ht="15">
      <c r="A62" s="474"/>
      <c r="B62" s="305" t="str">
        <f>'déroulé en C et en B'!T74</f>
        <v>Echelon</v>
      </c>
      <c r="C62" s="306" t="str">
        <f>'déroulé en C et en B'!U74</f>
        <v>durée échelon</v>
      </c>
      <c r="D62" s="306" t="str">
        <f>'déroulé en C et en B'!V74</f>
        <v>date effet</v>
      </c>
      <c r="E62" s="306" t="str">
        <f>'déroulé en C et en B'!W74</f>
        <v>jusqu'au</v>
      </c>
      <c r="F62" s="464" t="str">
        <f>'déroulé en C et en B'!X74</f>
        <v>années de prise en compte de l'échelon</v>
      </c>
      <c r="G62" s="465"/>
      <c r="H62" s="465"/>
      <c r="I62" s="465"/>
      <c r="J62" s="466"/>
    </row>
    <row r="63" spans="1:10" ht="15">
      <c r="A63" s="474"/>
      <c r="B63" s="297">
        <f>'déroulé en C et en B'!T75</f>
        <v>9</v>
      </c>
      <c r="C63" s="298">
        <f>'déroulé en C et en B'!U75</f>
        <v>3</v>
      </c>
      <c r="D63" s="299">
        <f>'déroulé en C et en B'!V75</f>
        <v>42736</v>
      </c>
      <c r="E63" s="299">
        <f>'déroulé en C et en B'!W75</f>
        <v>42766</v>
      </c>
      <c r="F63" s="298">
        <f>'déroulé en C et en B'!X75</f>
        <v>2017</v>
      </c>
      <c r="G63" s="298">
        <f>'déroulé en C et en B'!Y75</f>
      </c>
      <c r="H63" s="298">
        <f>'déroulé en C et en B'!Z75</f>
      </c>
      <c r="I63" s="298">
        <f>'déroulé en C et en B'!AA75</f>
      </c>
      <c r="J63" s="300">
        <f>'déroulé en C et en B'!AB75</f>
      </c>
    </row>
    <row r="64" spans="1:10" ht="15">
      <c r="A64" s="474"/>
      <c r="B64" s="297">
        <f>'déroulé en C et en B'!T76</f>
        <v>10</v>
      </c>
      <c r="C64" s="298">
        <f>'déroulé en C et en B'!U76</f>
        <v>3</v>
      </c>
      <c r="D64" s="299">
        <f>'déroulé en C et en B'!V76</f>
        <v>42767</v>
      </c>
      <c r="E64" s="299">
        <f>'déroulé en C et en B'!W76</f>
        <v>43862</v>
      </c>
      <c r="F64" s="298">
        <f>'déroulé en C et en B'!X76</f>
        <v>2017</v>
      </c>
      <c r="G64" s="298">
        <f>'déroulé en C et en B'!Y76</f>
        <v>2018</v>
      </c>
      <c r="H64" s="298">
        <f>'déroulé en C et en B'!Z76</f>
        <v>2019</v>
      </c>
      <c r="I64" s="298">
        <f>'déroulé en C et en B'!AA76</f>
        <v>2020</v>
      </c>
      <c r="J64" s="300">
        <f>'déroulé en C et en B'!AB76</f>
      </c>
    </row>
    <row r="65" spans="1:10" ht="15">
      <c r="A65" s="474"/>
      <c r="B65" s="297">
        <f>'déroulé en C et en B'!T77</f>
        <v>11</v>
      </c>
      <c r="C65" s="298">
        <f>'déroulé en C et en B'!U77</f>
        <v>3</v>
      </c>
      <c r="D65" s="299">
        <f>'déroulé en C et en B'!V77</f>
        <v>43863</v>
      </c>
      <c r="E65" s="299">
        <f>'déroulé en C et en B'!W77</f>
        <v>44958</v>
      </c>
      <c r="F65" s="298">
        <f>'déroulé en C et en B'!X77</f>
        <v>2020</v>
      </c>
      <c r="G65" s="298">
        <f>'déroulé en C et en B'!Y77</f>
        <v>2021</v>
      </c>
      <c r="H65" s="298">
        <f>'déroulé en C et en B'!Z77</f>
        <v>2022</v>
      </c>
      <c r="I65" s="298">
        <f>'déroulé en C et en B'!AA77</f>
        <v>2023</v>
      </c>
      <c r="J65" s="300">
        <f>'déroulé en C et en B'!AB77</f>
      </c>
    </row>
    <row r="66" spans="1:10" ht="15">
      <c r="A66" s="474"/>
      <c r="B66" s="297">
        <f>'déroulé en C et en B'!T78</f>
        <v>12</v>
      </c>
      <c r="C66" s="298">
        <f>'déroulé en C et en B'!U78</f>
        <v>4</v>
      </c>
      <c r="D66" s="299">
        <f>'déroulé en C et en B'!V78</f>
        <v>44959</v>
      </c>
      <c r="E66" s="299">
        <f>'déroulé en C et en B'!W78</f>
        <v>46419</v>
      </c>
      <c r="F66" s="298">
        <f>'déroulé en C et en B'!X78</f>
        <v>2023</v>
      </c>
      <c r="G66" s="298">
        <f>'déroulé en C et en B'!Y78</f>
        <v>2024</v>
      </c>
      <c r="H66" s="298">
        <f>'déroulé en C et en B'!Z78</f>
        <v>2025</v>
      </c>
      <c r="I66" s="298">
        <f>'déroulé en C et en B'!AA78</f>
        <v>2026</v>
      </c>
      <c r="J66" s="300">
        <f>'déroulé en C et en B'!AB78</f>
        <v>2027</v>
      </c>
    </row>
    <row r="67" spans="1:10" ht="15">
      <c r="A67" s="474"/>
      <c r="B67" s="297">
        <f>'déroulé en C et en B'!T79</f>
        <v>13</v>
      </c>
      <c r="C67" s="298">
        <f>'déroulé en C et en B'!U79</f>
      </c>
      <c r="D67" s="299">
        <f>'déroulé en C et en B'!V79</f>
        <v>46420</v>
      </c>
      <c r="E67" s="299">
        <f>'déroulé en C et en B'!W79</f>
      </c>
      <c r="F67" s="298">
        <f>'déroulé en C et en B'!X79</f>
        <v>2027</v>
      </c>
      <c r="G67" s="298">
        <f>'déroulé en C et en B'!Y79</f>
      </c>
      <c r="H67" s="298">
        <f>'déroulé en C et en B'!Z79</f>
      </c>
      <c r="I67" s="298">
        <f>'déroulé en C et en B'!AA79</f>
      </c>
      <c r="J67" s="300">
        <f>'déroulé en C et en B'!AB79</f>
      </c>
    </row>
    <row r="68" spans="1:10" ht="15">
      <c r="A68" s="474"/>
      <c r="B68" s="297">
        <f>'déroulé en C et en B'!T80</f>
      </c>
      <c r="C68" s="298">
        <f>'déroulé en C et en B'!U80</f>
      </c>
      <c r="D68" s="299">
        <f>'déroulé en C et en B'!V80</f>
      </c>
      <c r="E68" s="299">
        <f>'déroulé en C et en B'!W80</f>
      </c>
      <c r="F68" s="298">
        <f>'déroulé en C et en B'!X80</f>
      </c>
      <c r="G68" s="298">
        <f>'déroulé en C et en B'!Y80</f>
      </c>
      <c r="H68" s="298">
        <f>'déroulé en C et en B'!Z80</f>
      </c>
      <c r="I68" s="298">
        <f>'déroulé en C et en B'!AA80</f>
      </c>
      <c r="J68" s="300">
        <f>'déroulé en C et en B'!AB80</f>
      </c>
    </row>
    <row r="69" spans="1:10" ht="15">
      <c r="A69" s="474"/>
      <c r="B69" s="297">
        <f>'déroulé en C et en B'!T81</f>
      </c>
      <c r="C69" s="298">
        <f>'déroulé en C et en B'!U81</f>
      </c>
      <c r="D69" s="299">
        <f>'déroulé en C et en B'!V81</f>
      </c>
      <c r="E69" s="299">
        <f>'déroulé en C et en B'!W81</f>
      </c>
      <c r="F69" s="298">
        <f>'déroulé en C et en B'!X81</f>
      </c>
      <c r="G69" s="298">
        <f>'déroulé en C et en B'!Y81</f>
      </c>
      <c r="H69" s="298">
        <f>'déroulé en C et en B'!Z81</f>
      </c>
      <c r="I69" s="298">
        <f>'déroulé en C et en B'!AA81</f>
      </c>
      <c r="J69" s="300">
        <f>'déroulé en C et en B'!AB81</f>
      </c>
    </row>
    <row r="70" spans="1:10" ht="15">
      <c r="A70" s="474"/>
      <c r="B70" s="297">
        <f>'déroulé en C et en B'!T82</f>
      </c>
      <c r="C70" s="298">
        <f>'déroulé en C et en B'!U82</f>
      </c>
      <c r="D70" s="299">
        <f>'déroulé en C et en B'!V82</f>
      </c>
      <c r="E70" s="299">
        <f>'déroulé en C et en B'!W82</f>
      </c>
      <c r="F70" s="298">
        <f>'déroulé en C et en B'!X82</f>
      </c>
      <c r="G70" s="298">
        <f>'déroulé en C et en B'!Y82</f>
      </c>
      <c r="H70" s="298">
        <f>'déroulé en C et en B'!Z82</f>
      </c>
      <c r="I70" s="298">
        <f>'déroulé en C et en B'!AA82</f>
      </c>
      <c r="J70" s="300">
        <f>'déroulé en C et en B'!AB82</f>
      </c>
    </row>
    <row r="71" spans="1:10" ht="15">
      <c r="A71" s="474"/>
      <c r="B71" s="297">
        <f>'déroulé en C et en B'!T83</f>
      </c>
      <c r="C71" s="298">
        <f>'déroulé en C et en B'!U83</f>
      </c>
      <c r="D71" s="299">
        <f>'déroulé en C et en B'!V83</f>
      </c>
      <c r="E71" s="299">
        <f>'déroulé en C et en B'!W83</f>
      </c>
      <c r="F71" s="298">
        <f>'déroulé en C et en B'!X83</f>
      </c>
      <c r="G71" s="298">
        <f>'déroulé en C et en B'!Y83</f>
      </c>
      <c r="H71" s="298">
        <f>'déroulé en C et en B'!Z83</f>
      </c>
      <c r="I71" s="298">
        <f>'déroulé en C et en B'!AA83</f>
      </c>
      <c r="J71" s="300">
        <f>'déroulé en C et en B'!AB83</f>
      </c>
    </row>
    <row r="72" spans="1:10" ht="15.75" thickBot="1">
      <c r="A72" s="474"/>
      <c r="B72" s="301">
        <f>'déroulé en C et en B'!T84</f>
      </c>
      <c r="C72" s="302">
        <f>'déroulé en C et en B'!U84</f>
      </c>
      <c r="D72" s="303">
        <f>'déroulé en C et en B'!V84</f>
      </c>
      <c r="E72" s="303">
        <f>'déroulé en C et en B'!W84</f>
      </c>
      <c r="F72" s="302">
        <f>'déroulé en C et en B'!X84</f>
      </c>
      <c r="G72" s="302">
        <f>'déroulé en C et en B'!Y84</f>
      </c>
      <c r="H72" s="302">
        <f>'déroulé en C et en B'!Z84</f>
      </c>
      <c r="I72" s="302">
        <f>'déroulé en C et en B'!AA84</f>
      </c>
      <c r="J72" s="304">
        <f>'déroulé en C et en B'!AB84</f>
      </c>
    </row>
    <row r="74" spans="3:21" ht="15">
      <c r="C74" s="225"/>
      <c r="D74" s="225"/>
      <c r="E74" s="225"/>
      <c r="F74" s="225"/>
      <c r="G74" s="225"/>
      <c r="H74" s="225"/>
      <c r="I74" s="225"/>
      <c r="J74" s="225"/>
      <c r="K74" s="225"/>
      <c r="L74" s="225"/>
      <c r="M74" s="225"/>
      <c r="N74" s="225"/>
      <c r="O74" s="225"/>
      <c r="P74" s="225"/>
      <c r="Q74" s="225"/>
      <c r="R74" s="225"/>
      <c r="S74" s="225"/>
      <c r="T74" s="225"/>
      <c r="U74" s="225"/>
    </row>
    <row r="75" spans="2:21" ht="15">
      <c r="B75" s="269"/>
      <c r="C75" s="269"/>
      <c r="D75" s="269"/>
      <c r="E75" s="269"/>
      <c r="F75" s="269"/>
      <c r="G75" s="269"/>
      <c r="H75" s="269"/>
      <c r="I75" s="269"/>
      <c r="J75" s="269"/>
      <c r="K75" s="269"/>
      <c r="L75" s="269"/>
      <c r="M75" s="269"/>
      <c r="N75" s="269"/>
      <c r="O75" s="269"/>
      <c r="P75" s="269"/>
      <c r="Q75" s="269"/>
      <c r="R75" s="269"/>
      <c r="S75" s="269"/>
      <c r="T75" s="269"/>
      <c r="U75" s="269"/>
    </row>
    <row r="76" spans="2:21" ht="15">
      <c r="B76" s="269"/>
      <c r="C76" s="269"/>
      <c r="D76" s="269"/>
      <c r="E76" s="269"/>
      <c r="F76" s="269"/>
      <c r="G76" s="269"/>
      <c r="H76" s="269"/>
      <c r="I76" s="269"/>
      <c r="J76" s="269"/>
      <c r="K76" s="269"/>
      <c r="L76" s="269"/>
      <c r="M76" s="269"/>
      <c r="N76" s="269"/>
      <c r="O76" s="269"/>
      <c r="P76" s="269"/>
      <c r="Q76" s="269"/>
      <c r="R76" s="269"/>
      <c r="S76" s="269"/>
      <c r="T76" s="269"/>
      <c r="U76" s="269"/>
    </row>
    <row r="77" spans="2:21" ht="15">
      <c r="B77" s="269"/>
      <c r="C77" s="269"/>
      <c r="D77" s="269"/>
      <c r="E77" s="269"/>
      <c r="F77" s="269"/>
      <c r="G77" s="269"/>
      <c r="H77" s="269"/>
      <c r="I77" s="269"/>
      <c r="J77" s="269"/>
      <c r="K77" s="269"/>
      <c r="L77" s="269"/>
      <c r="M77" s="269"/>
      <c r="N77" s="269"/>
      <c r="O77" s="269"/>
      <c r="P77" s="269"/>
      <c r="Q77" s="269"/>
      <c r="R77" s="269"/>
      <c r="S77" s="269"/>
      <c r="T77" s="269"/>
      <c r="U77" s="269"/>
    </row>
    <row r="78" spans="2:21" ht="15">
      <c r="B78" s="269"/>
      <c r="C78" s="269"/>
      <c r="D78" s="269"/>
      <c r="E78" s="269"/>
      <c r="F78" s="269"/>
      <c r="G78" s="269"/>
      <c r="H78" s="269"/>
      <c r="I78" s="269"/>
      <c r="J78" s="269"/>
      <c r="K78" s="269"/>
      <c r="L78" s="269"/>
      <c r="M78" s="269"/>
      <c r="N78" s="269"/>
      <c r="O78" s="269"/>
      <c r="P78" s="269"/>
      <c r="Q78" s="269"/>
      <c r="R78" s="269"/>
      <c r="S78" s="269"/>
      <c r="T78" s="269"/>
      <c r="U78" s="269"/>
    </row>
    <row r="79" spans="2:21" ht="15">
      <c r="B79" s="269"/>
      <c r="C79" s="269"/>
      <c r="D79" s="269"/>
      <c r="E79" s="269"/>
      <c r="F79" s="269"/>
      <c r="G79" s="269"/>
      <c r="H79" s="269"/>
      <c r="I79" s="269"/>
      <c r="J79" s="269"/>
      <c r="K79" s="269"/>
      <c r="L79" s="269"/>
      <c r="M79" s="269"/>
      <c r="N79" s="269"/>
      <c r="O79" s="269"/>
      <c r="P79" s="269"/>
      <c r="Q79" s="269"/>
      <c r="R79" s="269"/>
      <c r="S79" s="269"/>
      <c r="T79" s="269"/>
      <c r="U79" s="269"/>
    </row>
    <row r="80" spans="2:21" ht="15">
      <c r="B80" s="269"/>
      <c r="C80" s="269"/>
      <c r="D80" s="269"/>
      <c r="E80" s="269"/>
      <c r="F80" s="269"/>
      <c r="G80" s="269"/>
      <c r="H80" s="269"/>
      <c r="I80" s="269"/>
      <c r="J80" s="269"/>
      <c r="K80" s="269"/>
      <c r="L80" s="269"/>
      <c r="M80" s="269"/>
      <c r="N80" s="269"/>
      <c r="O80" s="269"/>
      <c r="P80" s="269"/>
      <c r="Q80" s="269"/>
      <c r="R80" s="269"/>
      <c r="S80" s="269"/>
      <c r="T80" s="269"/>
      <c r="U80" s="269"/>
    </row>
    <row r="81" spans="2:21" ht="15">
      <c r="B81" s="269"/>
      <c r="C81" s="269"/>
      <c r="D81" s="269"/>
      <c r="E81" s="269"/>
      <c r="F81" s="269"/>
      <c r="G81" s="269"/>
      <c r="H81" s="269"/>
      <c r="I81" s="269"/>
      <c r="J81" s="269"/>
      <c r="K81" s="269"/>
      <c r="L81" s="269"/>
      <c r="M81" s="269"/>
      <c r="N81" s="269"/>
      <c r="O81" s="269"/>
      <c r="P81" s="269"/>
      <c r="Q81" s="269"/>
      <c r="R81" s="269"/>
      <c r="S81" s="269"/>
      <c r="T81" s="269"/>
      <c r="U81" s="269"/>
    </row>
    <row r="82" spans="2:21" ht="15">
      <c r="B82" s="269"/>
      <c r="C82" s="269"/>
      <c r="D82" s="269"/>
      <c r="E82" s="269"/>
      <c r="F82" s="269"/>
      <c r="G82" s="269"/>
      <c r="H82" s="269"/>
      <c r="I82" s="269"/>
      <c r="J82" s="269"/>
      <c r="K82" s="269"/>
      <c r="L82" s="269"/>
      <c r="M82" s="269"/>
      <c r="N82" s="269"/>
      <c r="O82" s="269"/>
      <c r="P82" s="269"/>
      <c r="Q82" s="269"/>
      <c r="R82" s="269"/>
      <c r="S82" s="269"/>
      <c r="T82" s="269"/>
      <c r="U82" s="269"/>
    </row>
  </sheetData>
  <sheetProtection password="EEF6" sheet="1" objects="1" scenarios="1"/>
  <mergeCells count="11">
    <mergeCell ref="B33:H33"/>
    <mergeCell ref="B31:I31"/>
    <mergeCell ref="A15:J27"/>
    <mergeCell ref="F62:J62"/>
    <mergeCell ref="B61:J61"/>
    <mergeCell ref="F40:I40"/>
    <mergeCell ref="A31:A37"/>
    <mergeCell ref="A59:A72"/>
    <mergeCell ref="B39:I39"/>
    <mergeCell ref="B55:H55"/>
    <mergeCell ref="B53:J53"/>
  </mergeCells>
  <printOptions/>
  <pageMargins left="0.7874015748031497" right="0.7874015748031497" top="0.7874015748031497" bottom="0.7874015748031497" header="0.5118110236220472" footer="0.5118110236220472"/>
  <pageSetup fitToHeight="0" fitToWidth="1" horizontalDpi="600" verticalDpi="600" orientation="portrait" paperSize="9" scale="59"/>
</worksheet>
</file>

<file path=xl/worksheets/sheet5.xml><?xml version="1.0" encoding="utf-8"?>
<worksheet xmlns="http://schemas.openxmlformats.org/spreadsheetml/2006/main" xmlns:r="http://schemas.openxmlformats.org/officeDocument/2006/relationships">
  <dimension ref="A1:A116"/>
  <sheetViews>
    <sheetView workbookViewId="0" topLeftCell="A34">
      <selection activeCell="A110" sqref="A110"/>
    </sheetView>
  </sheetViews>
  <sheetFormatPr defaultColWidth="11.421875" defaultRowHeight="12.75"/>
  <cols>
    <col min="1" max="1" width="137.421875" style="223" customWidth="1"/>
    <col min="2" max="2" width="12.28125" style="0" customWidth="1"/>
  </cols>
  <sheetData>
    <row r="1" ht="25.5">
      <c r="A1" s="398" t="s">
        <v>197</v>
      </c>
    </row>
    <row r="3" ht="39">
      <c r="A3" s="398" t="s">
        <v>198</v>
      </c>
    </row>
    <row r="5" ht="25.5">
      <c r="A5" s="399" t="s">
        <v>199</v>
      </c>
    </row>
    <row r="7" ht="25.5">
      <c r="A7" s="398" t="s">
        <v>200</v>
      </c>
    </row>
    <row r="9" ht="12.75">
      <c r="A9" s="398" t="s">
        <v>201</v>
      </c>
    </row>
    <row r="11" ht="39">
      <c r="A11" s="398" t="s">
        <v>202</v>
      </c>
    </row>
    <row r="13" ht="12.75">
      <c r="A13" s="399" t="s">
        <v>203</v>
      </c>
    </row>
    <row r="15" ht="25.5">
      <c r="A15" s="398" t="s">
        <v>204</v>
      </c>
    </row>
    <row r="16" ht="64.5">
      <c r="A16" s="398" t="s">
        <v>205</v>
      </c>
    </row>
    <row r="18" ht="25.5">
      <c r="A18" s="399" t="s">
        <v>206</v>
      </c>
    </row>
    <row r="20" ht="12.75">
      <c r="A20" s="398" t="s">
        <v>207</v>
      </c>
    </row>
    <row r="21" ht="12">
      <c r="A21" s="400"/>
    </row>
    <row r="22" ht="12.75">
      <c r="A22" s="401" t="s">
        <v>208</v>
      </c>
    </row>
    <row r="23" ht="12">
      <c r="A23" s="400"/>
    </row>
    <row r="24" ht="12.75">
      <c r="A24" s="401" t="s">
        <v>209</v>
      </c>
    </row>
    <row r="26" ht="25.5">
      <c r="A26" s="398" t="s">
        <v>210</v>
      </c>
    </row>
    <row r="28" ht="12.75">
      <c r="A28" s="398" t="s">
        <v>211</v>
      </c>
    </row>
    <row r="30" ht="16.5">
      <c r="A30" s="402" t="s">
        <v>212</v>
      </c>
    </row>
    <row r="32" ht="12.75">
      <c r="A32" s="399" t="s">
        <v>213</v>
      </c>
    </row>
    <row r="34" ht="12.75">
      <c r="A34" s="398" t="s">
        <v>214</v>
      </c>
    </row>
    <row r="36" ht="12.75">
      <c r="A36" s="399" t="s">
        <v>215</v>
      </c>
    </row>
    <row r="38" ht="12.75">
      <c r="A38" s="399" t="s">
        <v>216</v>
      </c>
    </row>
    <row r="39" ht="25.5">
      <c r="A39" s="398" t="s">
        <v>217</v>
      </c>
    </row>
    <row r="40" ht="12">
      <c r="A40" s="400"/>
    </row>
    <row r="41" ht="12.75">
      <c r="A41" s="401" t="s">
        <v>218</v>
      </c>
    </row>
    <row r="42" ht="12">
      <c r="A42" s="400"/>
    </row>
    <row r="43" ht="12.75">
      <c r="A43" s="401" t="s">
        <v>219</v>
      </c>
    </row>
    <row r="44" ht="12">
      <c r="A44" s="400"/>
    </row>
    <row r="45" ht="12.75">
      <c r="A45" s="401" t="s">
        <v>220</v>
      </c>
    </row>
    <row r="46" ht="12">
      <c r="A46" s="400"/>
    </row>
    <row r="47" ht="12.75">
      <c r="A47" s="403" t="s">
        <v>221</v>
      </c>
    </row>
    <row r="48" ht="12">
      <c r="A48" s="400"/>
    </row>
    <row r="49" ht="12.75">
      <c r="A49" s="404" t="s">
        <v>222</v>
      </c>
    </row>
    <row r="50" ht="12.75">
      <c r="A50" s="403" t="s">
        <v>223</v>
      </c>
    </row>
    <row r="51" ht="12">
      <c r="A51" s="400"/>
    </row>
    <row r="52" ht="25.5">
      <c r="A52" s="403" t="s">
        <v>224</v>
      </c>
    </row>
    <row r="53" ht="12">
      <c r="A53" s="400"/>
    </row>
    <row r="54" ht="12.75">
      <c r="A54" s="404" t="s">
        <v>225</v>
      </c>
    </row>
    <row r="55" ht="25.5">
      <c r="A55" s="403" t="s">
        <v>226</v>
      </c>
    </row>
    <row r="56" ht="12">
      <c r="A56" s="400"/>
    </row>
    <row r="57" ht="39">
      <c r="A57" s="403" t="s">
        <v>227</v>
      </c>
    </row>
    <row r="59" ht="12.75">
      <c r="A59" s="399" t="s">
        <v>228</v>
      </c>
    </row>
    <row r="61" ht="12.75">
      <c r="A61" s="399" t="s">
        <v>229</v>
      </c>
    </row>
    <row r="62" ht="12.75">
      <c r="A62" s="398" t="s">
        <v>230</v>
      </c>
    </row>
    <row r="64" ht="12.75">
      <c r="A64" s="399" t="s">
        <v>231</v>
      </c>
    </row>
    <row r="65" ht="12.75">
      <c r="A65" s="398" t="s">
        <v>232</v>
      </c>
    </row>
    <row r="67" ht="12.75">
      <c r="A67" s="398" t="s">
        <v>233</v>
      </c>
    </row>
    <row r="68" ht="12">
      <c r="A68" s="400"/>
    </row>
    <row r="69" ht="12.75">
      <c r="A69" s="401" t="s">
        <v>234</v>
      </c>
    </row>
    <row r="70" ht="12">
      <c r="A70" s="400"/>
    </row>
    <row r="71" ht="12.75">
      <c r="A71" s="403" t="s">
        <v>235</v>
      </c>
    </row>
    <row r="72" ht="12">
      <c r="A72" s="400"/>
    </row>
    <row r="73" ht="12.75">
      <c r="A73" s="401" t="s">
        <v>236</v>
      </c>
    </row>
    <row r="74" ht="12">
      <c r="A74" s="400"/>
    </row>
    <row r="75" ht="12.75">
      <c r="A75" s="403" t="s">
        <v>237</v>
      </c>
    </row>
    <row r="76" ht="12">
      <c r="A76" s="400"/>
    </row>
    <row r="77" ht="12.75">
      <c r="A77" s="401" t="s">
        <v>238</v>
      </c>
    </row>
    <row r="78" ht="12">
      <c r="A78" s="400"/>
    </row>
    <row r="79" ht="12.75">
      <c r="A79" s="403" t="s">
        <v>239</v>
      </c>
    </row>
    <row r="80" ht="12.75">
      <c r="A80" s="403" t="s">
        <v>240</v>
      </c>
    </row>
    <row r="81" ht="12">
      <c r="A81" s="400"/>
    </row>
    <row r="82" ht="12.75">
      <c r="A82" s="403" t="s">
        <v>241</v>
      </c>
    </row>
    <row r="83" ht="12">
      <c r="A83" s="400"/>
    </row>
    <row r="84" ht="12.75">
      <c r="A84" s="401" t="s">
        <v>242</v>
      </c>
    </row>
    <row r="85" ht="12">
      <c r="A85" s="400"/>
    </row>
    <row r="86" ht="25.5">
      <c r="A86" s="404" t="s">
        <v>243</v>
      </c>
    </row>
    <row r="87" ht="12">
      <c r="A87" s="400"/>
    </row>
    <row r="88" ht="39">
      <c r="A88" s="401" t="s">
        <v>244</v>
      </c>
    </row>
    <row r="89" ht="12">
      <c r="A89" s="400"/>
    </row>
    <row r="90" ht="25.5">
      <c r="A90" s="401" t="s">
        <v>245</v>
      </c>
    </row>
    <row r="91" ht="12">
      <c r="A91" s="400"/>
    </row>
    <row r="92" ht="39">
      <c r="A92" s="403" t="s">
        <v>246</v>
      </c>
    </row>
    <row r="93" ht="12">
      <c r="A93" s="400"/>
    </row>
    <row r="94" ht="25.5">
      <c r="A94" s="403" t="s">
        <v>247</v>
      </c>
    </row>
    <row r="96" ht="25.5">
      <c r="A96" s="398" t="s">
        <v>248</v>
      </c>
    </row>
    <row r="97" ht="12.75">
      <c r="A97" s="398" t="s">
        <v>249</v>
      </c>
    </row>
    <row r="99" ht="25.5">
      <c r="A99" s="398" t="s">
        <v>250</v>
      </c>
    </row>
    <row r="100" ht="25.5">
      <c r="A100" s="398" t="s">
        <v>251</v>
      </c>
    </row>
    <row r="102" ht="25.5">
      <c r="A102" s="398" t="s">
        <v>252</v>
      </c>
    </row>
    <row r="104" s="397" customFormat="1" ht="12.75">
      <c r="A104" s="399" t="s">
        <v>253</v>
      </c>
    </row>
    <row r="105" s="397" customFormat="1" ht="12.75">
      <c r="A105" s="398"/>
    </row>
    <row r="106" s="397" customFormat="1" ht="12.75">
      <c r="A106" s="398" t="s">
        <v>254</v>
      </c>
    </row>
    <row r="107" s="397" customFormat="1" ht="12.75">
      <c r="A107" s="398"/>
    </row>
    <row r="108" s="397" customFormat="1" ht="12.75">
      <c r="A108" s="398" t="s">
        <v>255</v>
      </c>
    </row>
    <row r="109" s="397" customFormat="1" ht="12.75">
      <c r="A109" s="398"/>
    </row>
    <row r="110" s="397" customFormat="1" ht="12.75">
      <c r="A110" s="398" t="s">
        <v>256</v>
      </c>
    </row>
    <row r="111" s="397" customFormat="1" ht="12.75">
      <c r="A111" s="398"/>
    </row>
    <row r="112" s="397" customFormat="1" ht="12.75">
      <c r="A112" s="398" t="s">
        <v>257</v>
      </c>
    </row>
    <row r="113" s="397" customFormat="1" ht="12.75">
      <c r="A113" s="398"/>
    </row>
    <row r="114" s="397" customFormat="1" ht="25.5">
      <c r="A114" s="398" t="s">
        <v>258</v>
      </c>
    </row>
    <row r="115" s="397" customFormat="1" ht="12.75">
      <c r="A115" s="398"/>
    </row>
    <row r="116" s="397" customFormat="1" ht="12.75">
      <c r="A116" s="398" t="s">
        <v>259</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M119"/>
  <sheetViews>
    <sheetView workbookViewId="0" topLeftCell="A55">
      <selection activeCell="W80" sqref="W80"/>
    </sheetView>
  </sheetViews>
  <sheetFormatPr defaultColWidth="11.57421875" defaultRowHeight="12.75"/>
  <cols>
    <col min="1" max="1" width="40.421875" style="0" customWidth="1"/>
    <col min="2" max="2" width="10.7109375" style="0" customWidth="1"/>
    <col min="3" max="3" width="12.421875" style="0" customWidth="1"/>
    <col min="4" max="4" width="8.421875" style="0" customWidth="1"/>
    <col min="5" max="5" width="12.421875" style="0" customWidth="1"/>
    <col min="6" max="6" width="9.8515625" style="0" customWidth="1"/>
    <col min="7" max="7" width="10.140625" style="0" customWidth="1"/>
    <col min="8" max="8" width="9.7109375" style="0" customWidth="1"/>
    <col min="9" max="9" width="6.140625" style="0" customWidth="1"/>
    <col min="10" max="10" width="5.00390625" style="0" customWidth="1"/>
    <col min="11" max="11" width="10.421875" style="0" customWidth="1"/>
    <col min="12" max="12" width="7.8515625" style="0" customWidth="1"/>
    <col min="13" max="14" width="10.140625" style="0" customWidth="1"/>
    <col min="15" max="15" width="4.00390625" style="0" customWidth="1"/>
    <col min="16" max="16" width="8.140625" style="0" customWidth="1"/>
    <col min="17" max="17" width="8.421875" style="0" customWidth="1"/>
    <col min="18" max="18" width="8.140625" style="0" customWidth="1"/>
    <col min="19" max="19" width="37.00390625" style="0" customWidth="1"/>
    <col min="20" max="20" width="8.421875" style="0" customWidth="1"/>
    <col min="21" max="21" width="12.7109375" style="0" customWidth="1"/>
    <col min="22" max="22" width="8.7109375" style="0" customWidth="1"/>
    <col min="23" max="23" width="12.7109375" style="0" customWidth="1"/>
    <col min="24" max="24" width="10.28125" style="0" customWidth="1"/>
    <col min="25" max="25" width="8.28125" style="0" customWidth="1"/>
    <col min="26" max="26" width="9.8515625" style="0" customWidth="1"/>
    <col min="27" max="27" width="7.8515625" style="0" customWidth="1"/>
    <col min="28" max="28" width="7.7109375" style="0" customWidth="1"/>
    <col min="29" max="29" width="10.7109375" style="0" customWidth="1"/>
    <col min="30" max="30" width="8.28125" style="0" customWidth="1"/>
    <col min="31" max="31" width="10.140625" style="0" customWidth="1"/>
    <col min="32" max="32" width="10.28125" style="0" customWidth="1"/>
    <col min="33" max="33" width="11.421875" style="0" customWidth="1"/>
    <col min="34" max="34" width="7.421875" style="0" customWidth="1"/>
    <col min="35" max="35" width="8.421875" style="0" customWidth="1"/>
    <col min="36" max="36" width="8.140625" style="0" customWidth="1"/>
    <col min="37" max="37" width="11.421875" style="0" customWidth="1"/>
    <col min="38" max="38" width="7.7109375" style="0" customWidth="1"/>
    <col min="39" max="39" width="7.421875" style="0" customWidth="1"/>
    <col min="40" max="40" width="7.7109375" style="0" customWidth="1"/>
    <col min="41" max="41" width="2.28125" style="0" customWidth="1"/>
    <col min="42" max="16384" width="11.421875" style="0" customWidth="1"/>
  </cols>
  <sheetData>
    <row r="1" spans="1:30" ht="13.5" customHeight="1">
      <c r="A1" s="6" t="s">
        <v>1</v>
      </c>
      <c r="B1" s="91" t="s">
        <v>2</v>
      </c>
      <c r="H1" s="453" t="s">
        <v>71</v>
      </c>
      <c r="I1" s="453"/>
      <c r="J1" s="453"/>
      <c r="K1" s="453"/>
      <c r="L1" s="74"/>
      <c r="M1" s="453" t="s">
        <v>72</v>
      </c>
      <c r="N1" s="453"/>
      <c r="O1" s="453"/>
      <c r="P1" s="453"/>
      <c r="V1" s="485" t="s">
        <v>73</v>
      </c>
      <c r="W1" s="485"/>
      <c r="X1" s="485"/>
      <c r="Y1" s="485"/>
      <c r="AA1" s="453" t="s">
        <v>74</v>
      </c>
      <c r="AB1" s="453"/>
      <c r="AC1" s="453"/>
      <c r="AD1" s="453"/>
    </row>
    <row r="2" spans="1:39" ht="24">
      <c r="A2" s="6" t="s">
        <v>4</v>
      </c>
      <c r="B2" s="91" t="s">
        <v>2</v>
      </c>
      <c r="H2" s="40" t="s">
        <v>48</v>
      </c>
      <c r="I2" s="41" t="s">
        <v>49</v>
      </c>
      <c r="J2" s="41" t="s">
        <v>50</v>
      </c>
      <c r="K2" s="42" t="s">
        <v>51</v>
      </c>
      <c r="L2" s="74"/>
      <c r="M2" s="40" t="s">
        <v>48</v>
      </c>
      <c r="N2" s="41" t="s">
        <v>49</v>
      </c>
      <c r="O2" s="42" t="s">
        <v>50</v>
      </c>
      <c r="P2" s="42" t="s">
        <v>51</v>
      </c>
      <c r="V2" s="72" t="s">
        <v>48</v>
      </c>
      <c r="W2" s="73" t="s">
        <v>49</v>
      </c>
      <c r="X2" s="73" t="s">
        <v>50</v>
      </c>
      <c r="Y2" s="92" t="s">
        <v>51</v>
      </c>
      <c r="AA2" s="40" t="s">
        <v>48</v>
      </c>
      <c r="AB2" s="41" t="s">
        <v>49</v>
      </c>
      <c r="AC2" s="42" t="s">
        <v>50</v>
      </c>
      <c r="AD2" s="42" t="s">
        <v>51</v>
      </c>
      <c r="AH2" s="71"/>
      <c r="AI2" s="71"/>
      <c r="AJ2" s="71"/>
      <c r="AK2" s="71"/>
      <c r="AL2" s="71"/>
      <c r="AM2" s="71"/>
    </row>
    <row r="3" spans="1:39" ht="12">
      <c r="A3" s="6" t="s">
        <v>6</v>
      </c>
      <c r="B3" s="91" t="s">
        <v>2</v>
      </c>
      <c r="E3" s="93"/>
      <c r="F3" s="71"/>
      <c r="G3" s="71"/>
      <c r="H3" s="45">
        <v>1</v>
      </c>
      <c r="I3" s="46">
        <v>364</v>
      </c>
      <c r="J3" s="46">
        <v>338</v>
      </c>
      <c r="K3" s="49">
        <v>1</v>
      </c>
      <c r="L3" s="71"/>
      <c r="M3" s="94">
        <v>1</v>
      </c>
      <c r="N3" s="46">
        <v>380</v>
      </c>
      <c r="O3" s="49">
        <v>350</v>
      </c>
      <c r="P3" s="49">
        <v>1</v>
      </c>
      <c r="V3" s="77">
        <v>1</v>
      </c>
      <c r="W3" s="78">
        <v>357</v>
      </c>
      <c r="X3" s="78">
        <v>332</v>
      </c>
      <c r="Y3" s="95">
        <v>1</v>
      </c>
      <c r="AA3" s="77">
        <v>1</v>
      </c>
      <c r="AB3" s="78">
        <v>372</v>
      </c>
      <c r="AC3" s="78">
        <v>343</v>
      </c>
      <c r="AD3" s="95">
        <v>2</v>
      </c>
      <c r="AH3" s="71"/>
      <c r="AI3" s="71"/>
      <c r="AJ3" s="71"/>
      <c r="AK3" s="71"/>
      <c r="AL3" s="71"/>
      <c r="AM3" s="71"/>
    </row>
    <row r="4" spans="8:39" ht="12">
      <c r="H4" s="52">
        <v>2</v>
      </c>
      <c r="I4" s="53">
        <v>374</v>
      </c>
      <c r="J4" s="53">
        <v>345</v>
      </c>
      <c r="K4" s="56">
        <v>1</v>
      </c>
      <c r="L4" s="71"/>
      <c r="M4" s="45">
        <v>2</v>
      </c>
      <c r="N4" s="46">
        <v>393</v>
      </c>
      <c r="O4" s="49">
        <v>358</v>
      </c>
      <c r="P4" s="96">
        <v>1</v>
      </c>
      <c r="V4" s="52">
        <v>2</v>
      </c>
      <c r="W4" s="53">
        <v>361</v>
      </c>
      <c r="X4" s="53">
        <v>335</v>
      </c>
      <c r="Y4" s="56">
        <v>2</v>
      </c>
      <c r="AA4" s="52">
        <v>2</v>
      </c>
      <c r="AB4" s="53">
        <v>379</v>
      </c>
      <c r="AC4" s="53">
        <v>349</v>
      </c>
      <c r="AD4" s="56">
        <v>2</v>
      </c>
      <c r="AH4" s="71"/>
      <c r="AI4" s="71"/>
      <c r="AJ4" s="71"/>
      <c r="AK4" s="71"/>
      <c r="AL4" s="71"/>
      <c r="AM4" s="71"/>
    </row>
    <row r="5" spans="8:39" ht="12">
      <c r="H5" s="52">
        <v>3</v>
      </c>
      <c r="I5" s="53">
        <v>388</v>
      </c>
      <c r="J5" s="53">
        <v>355</v>
      </c>
      <c r="K5" s="56">
        <v>2</v>
      </c>
      <c r="L5" s="71"/>
      <c r="M5" s="52">
        <v>3</v>
      </c>
      <c r="N5" s="59">
        <v>412</v>
      </c>
      <c r="O5" s="56">
        <v>368</v>
      </c>
      <c r="P5" s="97">
        <v>2</v>
      </c>
      <c r="V5" s="52">
        <v>3</v>
      </c>
      <c r="W5" s="53">
        <v>365</v>
      </c>
      <c r="X5" s="53">
        <v>338</v>
      </c>
      <c r="Y5" s="56">
        <v>2</v>
      </c>
      <c r="AA5" s="52">
        <v>3</v>
      </c>
      <c r="AB5" s="53">
        <v>388</v>
      </c>
      <c r="AC5" s="53">
        <v>355</v>
      </c>
      <c r="AD5" s="56">
        <v>2</v>
      </c>
      <c r="AH5" s="71"/>
      <c r="AI5" s="71"/>
      <c r="AJ5" s="71"/>
      <c r="AK5" s="71"/>
      <c r="AL5" s="71"/>
      <c r="AM5" s="71"/>
    </row>
    <row r="6" spans="1:39" ht="12">
      <c r="A6" s="9" t="s">
        <v>18</v>
      </c>
      <c r="B6" s="10">
        <f>'simulation carrières'!B3</f>
        <v>6</v>
      </c>
      <c r="H6" s="52">
        <v>4</v>
      </c>
      <c r="I6" s="53">
        <v>416</v>
      </c>
      <c r="J6" s="53">
        <v>370</v>
      </c>
      <c r="K6" s="56">
        <v>2</v>
      </c>
      <c r="L6" s="71"/>
      <c r="M6" s="52">
        <v>4</v>
      </c>
      <c r="N6" s="53">
        <v>430</v>
      </c>
      <c r="O6" s="56">
        <v>380</v>
      </c>
      <c r="P6" s="97">
        <v>2</v>
      </c>
      <c r="V6" s="52">
        <v>4</v>
      </c>
      <c r="W6" s="53">
        <v>369</v>
      </c>
      <c r="X6" s="53">
        <v>341</v>
      </c>
      <c r="Y6" s="56">
        <v>2</v>
      </c>
      <c r="AA6" s="52">
        <v>4</v>
      </c>
      <c r="AB6" s="53">
        <v>397</v>
      </c>
      <c r="AC6" s="53">
        <v>361</v>
      </c>
      <c r="AD6" s="56">
        <v>2</v>
      </c>
      <c r="AH6" s="71"/>
      <c r="AI6" s="71"/>
      <c r="AJ6" s="87"/>
      <c r="AK6" s="87"/>
      <c r="AL6" s="71"/>
      <c r="AM6" s="71"/>
    </row>
    <row r="7" spans="1:39" ht="12">
      <c r="A7" s="98"/>
      <c r="B7" s="99"/>
      <c r="H7" s="52">
        <v>5</v>
      </c>
      <c r="I7" s="59">
        <v>437</v>
      </c>
      <c r="J7" s="59">
        <v>385</v>
      </c>
      <c r="K7" s="56">
        <v>3</v>
      </c>
      <c r="L7" s="87"/>
      <c r="M7" s="52">
        <v>5</v>
      </c>
      <c r="N7" s="53">
        <v>448</v>
      </c>
      <c r="O7" s="56">
        <v>393</v>
      </c>
      <c r="P7" s="97">
        <v>2</v>
      </c>
      <c r="V7" s="52">
        <v>5</v>
      </c>
      <c r="W7" s="59">
        <v>381</v>
      </c>
      <c r="X7" s="59">
        <v>351</v>
      </c>
      <c r="Y7" s="56">
        <v>2</v>
      </c>
      <c r="AA7" s="52">
        <v>5</v>
      </c>
      <c r="AB7" s="59">
        <v>415</v>
      </c>
      <c r="AC7" s="59">
        <v>369</v>
      </c>
      <c r="AD7" s="56">
        <v>2</v>
      </c>
      <c r="AH7" s="71"/>
      <c r="AI7" s="71"/>
      <c r="AJ7" s="87"/>
      <c r="AK7" s="87"/>
      <c r="AL7" s="71"/>
      <c r="AM7" s="71"/>
    </row>
    <row r="8" spans="1:39" ht="12">
      <c r="A8" s="98"/>
      <c r="B8" s="99"/>
      <c r="H8" s="52">
        <v>6</v>
      </c>
      <c r="I8" s="53">
        <v>457</v>
      </c>
      <c r="J8" s="53">
        <v>400</v>
      </c>
      <c r="K8" s="56">
        <v>3</v>
      </c>
      <c r="L8" s="71"/>
      <c r="M8" s="52">
        <v>6</v>
      </c>
      <c r="N8" s="53">
        <v>460</v>
      </c>
      <c r="O8" s="56">
        <v>403</v>
      </c>
      <c r="P8" s="97">
        <v>2</v>
      </c>
      <c r="V8" s="52">
        <v>6</v>
      </c>
      <c r="W8" s="59">
        <v>403</v>
      </c>
      <c r="X8" s="59">
        <v>364</v>
      </c>
      <c r="Y8" s="56">
        <v>2</v>
      </c>
      <c r="AA8" s="52">
        <v>6</v>
      </c>
      <c r="AB8" s="59">
        <v>431</v>
      </c>
      <c r="AC8" s="59">
        <v>381</v>
      </c>
      <c r="AD8" s="56">
        <v>2</v>
      </c>
      <c r="AH8" s="71"/>
      <c r="AI8" s="71"/>
      <c r="AJ8" s="87"/>
      <c r="AK8" s="87"/>
      <c r="AL8" s="71"/>
      <c r="AM8" s="71"/>
    </row>
    <row r="9" spans="1:39" ht="12">
      <c r="A9" s="98"/>
      <c r="B9" s="99"/>
      <c r="H9" s="52">
        <v>7</v>
      </c>
      <c r="I9" s="53">
        <v>488</v>
      </c>
      <c r="J9" s="53">
        <v>422</v>
      </c>
      <c r="K9" s="56">
        <v>4</v>
      </c>
      <c r="L9" s="71"/>
      <c r="M9" s="52">
        <v>7</v>
      </c>
      <c r="N9" s="53">
        <v>478</v>
      </c>
      <c r="O9" s="56">
        <v>415</v>
      </c>
      <c r="P9" s="97">
        <v>3</v>
      </c>
      <c r="V9" s="52">
        <v>7</v>
      </c>
      <c r="W9" s="59">
        <v>425</v>
      </c>
      <c r="X9" s="59">
        <v>377</v>
      </c>
      <c r="Y9" s="56">
        <v>2</v>
      </c>
      <c r="AA9" s="52">
        <v>7</v>
      </c>
      <c r="AB9" s="59">
        <v>452</v>
      </c>
      <c r="AC9" s="59">
        <v>396</v>
      </c>
      <c r="AD9" s="56">
        <v>2</v>
      </c>
      <c r="AH9" s="71"/>
      <c r="AI9" s="71"/>
      <c r="AJ9" s="87"/>
      <c r="AK9" s="87"/>
      <c r="AL9" s="71"/>
      <c r="AM9" s="71"/>
    </row>
    <row r="10" spans="1:39" ht="12">
      <c r="A10" s="98"/>
      <c r="B10" s="99"/>
      <c r="H10" s="52">
        <v>8</v>
      </c>
      <c r="I10" s="53">
        <v>506</v>
      </c>
      <c r="J10" s="53">
        <v>436</v>
      </c>
      <c r="K10" s="56">
        <v>4</v>
      </c>
      <c r="L10" s="71"/>
      <c r="M10" s="52">
        <v>8</v>
      </c>
      <c r="N10" s="53">
        <v>499</v>
      </c>
      <c r="O10" s="56">
        <v>430</v>
      </c>
      <c r="P10" s="97">
        <v>3</v>
      </c>
      <c r="V10" s="52">
        <v>8</v>
      </c>
      <c r="W10" s="59">
        <v>446</v>
      </c>
      <c r="X10" s="59">
        <v>392</v>
      </c>
      <c r="Y10" s="56">
        <v>3</v>
      </c>
      <c r="AA10" s="52">
        <v>8</v>
      </c>
      <c r="AB10" s="59">
        <v>478</v>
      </c>
      <c r="AC10" s="59">
        <v>415</v>
      </c>
      <c r="AD10" s="56">
        <v>3</v>
      </c>
      <c r="AH10" s="71"/>
      <c r="AI10" s="71"/>
      <c r="AJ10" s="71"/>
      <c r="AK10" s="71"/>
      <c r="AL10" s="71"/>
      <c r="AM10" s="71"/>
    </row>
    <row r="11" spans="1:39" ht="13.5" customHeight="1">
      <c r="A11" s="484" t="s">
        <v>75</v>
      </c>
      <c r="B11" s="484"/>
      <c r="C11" s="484"/>
      <c r="D11" s="484"/>
      <c r="H11" s="62">
        <v>9</v>
      </c>
      <c r="I11" s="63">
        <v>543</v>
      </c>
      <c r="J11" s="63">
        <v>462</v>
      </c>
      <c r="K11" s="67"/>
      <c r="L11" s="71"/>
      <c r="M11" s="52">
        <v>9</v>
      </c>
      <c r="N11" s="53">
        <v>525</v>
      </c>
      <c r="O11" s="56">
        <v>450</v>
      </c>
      <c r="P11" s="97">
        <v>3</v>
      </c>
      <c r="V11" s="52">
        <v>9</v>
      </c>
      <c r="W11" s="53">
        <v>464</v>
      </c>
      <c r="X11" s="53">
        <v>406</v>
      </c>
      <c r="Y11" s="56">
        <v>3</v>
      </c>
      <c r="AA11" s="52">
        <v>9</v>
      </c>
      <c r="AB11" s="53">
        <v>500</v>
      </c>
      <c r="AC11" s="53">
        <v>431</v>
      </c>
      <c r="AD11" s="56">
        <v>3</v>
      </c>
      <c r="AH11" s="71"/>
      <c r="AI11" s="71"/>
      <c r="AJ11" s="71"/>
      <c r="AK11" s="71"/>
      <c r="AL11" s="71"/>
      <c r="AM11" s="71"/>
    </row>
    <row r="12" spans="1:39" ht="12">
      <c r="A12" s="100"/>
      <c r="B12" s="71"/>
      <c r="C12" s="71"/>
      <c r="D12" s="101"/>
      <c r="M12" s="62">
        <v>10</v>
      </c>
      <c r="N12" s="63">
        <v>548</v>
      </c>
      <c r="O12" s="67">
        <v>466</v>
      </c>
      <c r="P12" s="102"/>
      <c r="V12" s="52">
        <v>10</v>
      </c>
      <c r="W12" s="53">
        <v>497</v>
      </c>
      <c r="X12" s="53">
        <v>428</v>
      </c>
      <c r="Y12" s="56">
        <v>4</v>
      </c>
      <c r="AA12" s="52">
        <v>10</v>
      </c>
      <c r="AB12" s="53">
        <v>513</v>
      </c>
      <c r="AC12" s="53">
        <v>441</v>
      </c>
      <c r="AD12" s="56">
        <v>3</v>
      </c>
      <c r="AH12" s="71"/>
      <c r="AI12" s="71"/>
      <c r="AJ12" s="71"/>
      <c r="AK12" s="71"/>
      <c r="AL12" s="71"/>
      <c r="AM12" s="71"/>
    </row>
    <row r="13" spans="1:39" ht="12.75">
      <c r="A13" s="103" t="str">
        <f>"ÉCHELON détenu en tant que cat. C Échelle "&amp;B6</f>
        <v>ÉCHELON détenu en tant que cat. C Échelle 6</v>
      </c>
      <c r="B13" s="13">
        <f>'simulation carrières'!B6</f>
        <v>7</v>
      </c>
      <c r="C13" s="71"/>
      <c r="D13" s="101"/>
      <c r="L13" s="74"/>
      <c r="M13" s="74"/>
      <c r="N13" s="74"/>
      <c r="O13" s="74"/>
      <c r="V13" s="52">
        <v>11</v>
      </c>
      <c r="W13" s="53">
        <v>524</v>
      </c>
      <c r="X13" s="53">
        <v>449</v>
      </c>
      <c r="Y13" s="56">
        <v>4</v>
      </c>
      <c r="AA13" s="52">
        <v>11</v>
      </c>
      <c r="AB13" s="53">
        <v>538</v>
      </c>
      <c r="AC13" s="53">
        <v>457</v>
      </c>
      <c r="AD13" s="56">
        <v>3</v>
      </c>
      <c r="AH13" s="71"/>
      <c r="AI13" s="71"/>
      <c r="AJ13" s="71"/>
      <c r="AK13" s="71"/>
      <c r="AL13" s="71"/>
      <c r="AM13" s="71"/>
    </row>
    <row r="14" spans="1:39" ht="12.75">
      <c r="A14" s="103" t="s">
        <v>20</v>
      </c>
      <c r="B14" s="14">
        <f>'simulation carrières'!B7</f>
        <v>41671</v>
      </c>
      <c r="C14" s="71"/>
      <c r="D14" s="101"/>
      <c r="E14" s="143">
        <v>42370</v>
      </c>
      <c r="L14" s="74"/>
      <c r="V14" s="52">
        <v>12</v>
      </c>
      <c r="W14" s="53">
        <v>557</v>
      </c>
      <c r="X14" s="53">
        <v>472</v>
      </c>
      <c r="Y14" s="56">
        <v>4</v>
      </c>
      <c r="AA14" s="52">
        <v>12</v>
      </c>
      <c r="AB14" s="53">
        <v>563</v>
      </c>
      <c r="AC14" s="53">
        <v>477</v>
      </c>
      <c r="AD14" s="56">
        <v>4</v>
      </c>
      <c r="AH14" s="71"/>
      <c r="AI14" s="71"/>
      <c r="AJ14" s="71"/>
      <c r="AK14" s="71"/>
      <c r="AL14" s="74"/>
      <c r="AM14" s="71"/>
    </row>
    <row r="15" spans="1:39" ht="12">
      <c r="A15" s="100"/>
      <c r="B15" s="71"/>
      <c r="C15" s="71"/>
      <c r="D15" s="101"/>
      <c r="L15" s="87"/>
      <c r="V15" s="62">
        <v>13</v>
      </c>
      <c r="W15" s="63">
        <v>582</v>
      </c>
      <c r="X15" s="63">
        <v>492</v>
      </c>
      <c r="Y15" s="90"/>
      <c r="AA15" s="62">
        <v>13</v>
      </c>
      <c r="AB15" s="63">
        <v>597</v>
      </c>
      <c r="AC15" s="63">
        <v>503</v>
      </c>
      <c r="AD15" s="90"/>
      <c r="AH15" s="71"/>
      <c r="AI15" s="71"/>
      <c r="AJ15" s="71"/>
      <c r="AK15" s="71"/>
      <c r="AL15" s="71"/>
      <c r="AM15" s="71"/>
    </row>
    <row r="16" spans="1:39" ht="12.75">
      <c r="A16" s="104"/>
      <c r="B16" s="16" t="s">
        <v>21</v>
      </c>
      <c r="C16" s="16" t="s">
        <v>22</v>
      </c>
      <c r="D16" s="105" t="s">
        <v>23</v>
      </c>
      <c r="L16" s="71"/>
      <c r="V16" s="71"/>
      <c r="W16" s="71"/>
      <c r="X16" s="71"/>
      <c r="Y16" s="74"/>
      <c r="AA16" s="71"/>
      <c r="AB16" s="71"/>
      <c r="AC16" s="71"/>
      <c r="AD16" s="71"/>
      <c r="AH16" s="71"/>
      <c r="AI16" s="71"/>
      <c r="AJ16" s="71"/>
      <c r="AK16" s="71"/>
      <c r="AL16" s="71"/>
      <c r="AM16" s="71"/>
    </row>
    <row r="17" spans="1:39" ht="12.75">
      <c r="A17" s="106" t="str">
        <f>"Reliquat d’ancienneté détenu au "&amp;DAY(B14)&amp;"/"&amp;MONTH(B14)&amp;"/"&amp;YEAR(B14)</f>
        <v>Reliquat d’ancienneté détenu au 1/2/2014</v>
      </c>
      <c r="B17" s="13">
        <f>'simulation carrières'!B10</f>
        <v>0</v>
      </c>
      <c r="C17" s="107">
        <f>'simulation carrières'!C10</f>
        <v>0</v>
      </c>
      <c r="D17" s="108">
        <f>'simulation carrières'!D10</f>
        <v>0</v>
      </c>
      <c r="F17" s="17"/>
      <c r="L17" s="71"/>
      <c r="AH17" s="71"/>
      <c r="AI17" s="71"/>
      <c r="AJ17" s="71"/>
      <c r="AK17" s="71"/>
      <c r="AL17" s="71"/>
      <c r="AM17" s="71"/>
    </row>
    <row r="18" spans="1:25" ht="13.5" customHeight="1">
      <c r="A18" s="15"/>
      <c r="B18" s="15"/>
      <c r="C18" s="15"/>
      <c r="D18" s="15"/>
      <c r="H18" s="453" t="s">
        <v>76</v>
      </c>
      <c r="I18" s="453"/>
      <c r="J18" s="453"/>
      <c r="K18" s="453"/>
      <c r="L18" s="71"/>
      <c r="M18" s="453" t="s">
        <v>77</v>
      </c>
      <c r="N18" s="453"/>
      <c r="O18" s="453"/>
      <c r="P18" s="453"/>
      <c r="V18" s="453" t="s">
        <v>78</v>
      </c>
      <c r="W18" s="453"/>
      <c r="X18" s="453"/>
      <c r="Y18" s="453"/>
    </row>
    <row r="19" spans="8:39" ht="24">
      <c r="H19" s="72" t="s">
        <v>48</v>
      </c>
      <c r="I19" s="73" t="s">
        <v>49</v>
      </c>
      <c r="J19" s="73" t="s">
        <v>50</v>
      </c>
      <c r="K19" s="92" t="s">
        <v>51</v>
      </c>
      <c r="L19" s="71"/>
      <c r="M19" s="40" t="s">
        <v>48</v>
      </c>
      <c r="N19" s="41" t="s">
        <v>49</v>
      </c>
      <c r="O19" s="42" t="s">
        <v>50</v>
      </c>
      <c r="P19" s="42" t="s">
        <v>51</v>
      </c>
      <c r="V19" s="72" t="s">
        <v>48</v>
      </c>
      <c r="W19" s="73" t="s">
        <v>49</v>
      </c>
      <c r="X19" s="73" t="s">
        <v>50</v>
      </c>
      <c r="Y19" s="92" t="s">
        <v>51</v>
      </c>
      <c r="AI19" s="71"/>
      <c r="AJ19" s="71"/>
      <c r="AK19" s="71"/>
      <c r="AL19" s="74"/>
      <c r="AM19" s="71"/>
    </row>
    <row r="20" spans="8:39" ht="12">
      <c r="H20" s="109">
        <v>1</v>
      </c>
      <c r="I20" s="110">
        <v>374</v>
      </c>
      <c r="J20" s="110">
        <v>345</v>
      </c>
      <c r="K20" s="111">
        <v>1</v>
      </c>
      <c r="L20" s="71"/>
      <c r="M20" s="109">
        <v>1</v>
      </c>
      <c r="N20" s="78">
        <v>380</v>
      </c>
      <c r="O20" s="78">
        <v>350</v>
      </c>
      <c r="P20" s="95">
        <v>1</v>
      </c>
      <c r="V20" s="77">
        <v>1</v>
      </c>
      <c r="W20" s="78">
        <v>366</v>
      </c>
      <c r="X20" s="78">
        <v>339</v>
      </c>
      <c r="Y20" s="95">
        <v>2</v>
      </c>
      <c r="AI20" s="71"/>
      <c r="AJ20" s="71"/>
      <c r="AK20" s="71"/>
      <c r="AL20" s="71"/>
      <c r="AM20" s="71"/>
    </row>
    <row r="21" spans="8:39" ht="12">
      <c r="H21" s="52">
        <v>2</v>
      </c>
      <c r="I21" s="53">
        <v>388</v>
      </c>
      <c r="J21" s="53">
        <v>355</v>
      </c>
      <c r="K21" s="56">
        <v>1</v>
      </c>
      <c r="L21" s="71"/>
      <c r="M21" s="52">
        <v>2</v>
      </c>
      <c r="N21" s="53">
        <v>393</v>
      </c>
      <c r="O21" s="53">
        <v>358</v>
      </c>
      <c r="P21" s="56">
        <v>1</v>
      </c>
      <c r="V21" s="52">
        <v>2</v>
      </c>
      <c r="W21" s="53">
        <v>373</v>
      </c>
      <c r="X21" s="53">
        <v>344</v>
      </c>
      <c r="Y21" s="56">
        <v>2</v>
      </c>
      <c r="AI21" s="71"/>
      <c r="AJ21" s="71"/>
      <c r="AK21" s="71"/>
      <c r="AL21" s="71"/>
      <c r="AM21" s="71"/>
    </row>
    <row r="22" spans="8:39" ht="12">
      <c r="H22" s="52">
        <v>3</v>
      </c>
      <c r="I22" s="53">
        <v>404</v>
      </c>
      <c r="J22" s="53">
        <v>365</v>
      </c>
      <c r="K22" s="56">
        <v>2</v>
      </c>
      <c r="L22" s="71"/>
      <c r="M22" s="52">
        <v>3</v>
      </c>
      <c r="N22" s="59">
        <v>412</v>
      </c>
      <c r="O22" s="53">
        <v>368</v>
      </c>
      <c r="P22" s="56">
        <v>2</v>
      </c>
      <c r="V22" s="52">
        <v>3</v>
      </c>
      <c r="W22" s="53">
        <v>379</v>
      </c>
      <c r="X22" s="53">
        <v>349</v>
      </c>
      <c r="Y22" s="56">
        <v>2</v>
      </c>
      <c r="AI22" s="71"/>
      <c r="AJ22" s="71"/>
      <c r="AK22" s="71"/>
      <c r="AL22" s="71"/>
      <c r="AM22" s="71"/>
    </row>
    <row r="23" spans="8:39" ht="12">
      <c r="H23" s="52">
        <v>4</v>
      </c>
      <c r="I23" s="53">
        <v>422</v>
      </c>
      <c r="J23" s="53">
        <v>375</v>
      </c>
      <c r="K23" s="56">
        <v>2</v>
      </c>
      <c r="L23" s="71"/>
      <c r="M23" s="52">
        <v>4</v>
      </c>
      <c r="N23" s="53">
        <v>430</v>
      </c>
      <c r="O23" s="53">
        <v>380</v>
      </c>
      <c r="P23" s="56">
        <v>2</v>
      </c>
      <c r="V23" s="52">
        <v>4</v>
      </c>
      <c r="W23" s="59">
        <v>389</v>
      </c>
      <c r="X23" s="53">
        <v>356</v>
      </c>
      <c r="Y23" s="56">
        <v>2</v>
      </c>
      <c r="AI23" s="71"/>
      <c r="AJ23" s="87"/>
      <c r="AK23" s="71"/>
      <c r="AL23" s="71"/>
      <c r="AM23" s="71"/>
    </row>
    <row r="24" spans="8:39" ht="12">
      <c r="H24" s="52">
        <v>5</v>
      </c>
      <c r="I24" s="53">
        <v>445</v>
      </c>
      <c r="J24" s="53">
        <v>391</v>
      </c>
      <c r="K24" s="56">
        <v>2</v>
      </c>
      <c r="L24" s="71"/>
      <c r="M24" s="52">
        <v>5</v>
      </c>
      <c r="N24" s="53">
        <v>448</v>
      </c>
      <c r="O24" s="53">
        <v>393</v>
      </c>
      <c r="P24" s="56">
        <v>2</v>
      </c>
      <c r="V24" s="52">
        <v>5</v>
      </c>
      <c r="W24" s="59">
        <v>406</v>
      </c>
      <c r="X24" s="59">
        <v>366</v>
      </c>
      <c r="Y24" s="56">
        <v>2</v>
      </c>
      <c r="AI24" s="71"/>
      <c r="AJ24" s="87"/>
      <c r="AK24" s="87"/>
      <c r="AL24" s="71"/>
      <c r="AM24" s="71"/>
    </row>
    <row r="25" spans="8:39" ht="12">
      <c r="H25" s="52">
        <v>6</v>
      </c>
      <c r="I25" s="53">
        <v>457</v>
      </c>
      <c r="J25" s="53">
        <v>400</v>
      </c>
      <c r="K25" s="56">
        <v>2</v>
      </c>
      <c r="L25" s="71"/>
      <c r="M25" s="52">
        <v>6</v>
      </c>
      <c r="N25" s="53">
        <v>460</v>
      </c>
      <c r="O25" s="53">
        <v>403</v>
      </c>
      <c r="P25" s="56">
        <v>2</v>
      </c>
      <c r="V25" s="52">
        <v>6</v>
      </c>
      <c r="W25" s="59">
        <v>429</v>
      </c>
      <c r="X25" s="59">
        <v>379</v>
      </c>
      <c r="Y25" s="56">
        <v>2</v>
      </c>
      <c r="AI25" s="71"/>
      <c r="AJ25" s="87"/>
      <c r="AK25" s="87"/>
      <c r="AL25" s="71"/>
      <c r="AM25" s="71"/>
    </row>
    <row r="26" spans="8:39" ht="12">
      <c r="H26" s="52">
        <v>7</v>
      </c>
      <c r="I26" s="53">
        <v>475</v>
      </c>
      <c r="J26" s="53">
        <v>413</v>
      </c>
      <c r="K26" s="56">
        <v>3</v>
      </c>
      <c r="L26" s="71"/>
      <c r="M26" s="52">
        <v>7</v>
      </c>
      <c r="N26" s="53">
        <v>478</v>
      </c>
      <c r="O26" s="53">
        <v>415</v>
      </c>
      <c r="P26" s="56">
        <v>3</v>
      </c>
      <c r="V26" s="52">
        <v>7</v>
      </c>
      <c r="W26" s="59">
        <v>449</v>
      </c>
      <c r="X26" s="59">
        <v>394</v>
      </c>
      <c r="Y26" s="56">
        <v>2</v>
      </c>
      <c r="AI26" s="71"/>
      <c r="AJ26" s="87"/>
      <c r="AK26" s="87"/>
      <c r="AL26" s="71"/>
      <c r="AM26" s="71"/>
    </row>
    <row r="27" spans="8:39" ht="12">
      <c r="H27" s="52">
        <v>8</v>
      </c>
      <c r="I27" s="53">
        <v>499</v>
      </c>
      <c r="J27" s="53">
        <v>430</v>
      </c>
      <c r="K27" s="56">
        <v>3</v>
      </c>
      <c r="L27" s="71"/>
      <c r="M27" s="52">
        <v>8</v>
      </c>
      <c r="N27" s="53">
        <v>499</v>
      </c>
      <c r="O27" s="53">
        <v>430</v>
      </c>
      <c r="P27" s="56">
        <v>3</v>
      </c>
      <c r="V27" s="52">
        <v>8</v>
      </c>
      <c r="W27" s="53">
        <v>475</v>
      </c>
      <c r="X27" s="59">
        <v>413</v>
      </c>
      <c r="Y27" s="56">
        <v>3</v>
      </c>
      <c r="AI27" s="71"/>
      <c r="AJ27" s="71"/>
      <c r="AK27" s="87"/>
      <c r="AL27" s="71"/>
      <c r="AM27" s="71"/>
    </row>
    <row r="28" spans="8:39" ht="12">
      <c r="H28" s="52">
        <v>9</v>
      </c>
      <c r="I28" s="53">
        <v>518</v>
      </c>
      <c r="J28" s="53">
        <v>445</v>
      </c>
      <c r="K28" s="56">
        <v>3</v>
      </c>
      <c r="L28" s="74"/>
      <c r="M28" s="52">
        <v>9</v>
      </c>
      <c r="N28" s="53">
        <v>525</v>
      </c>
      <c r="O28" s="53">
        <v>450</v>
      </c>
      <c r="P28" s="56">
        <v>3</v>
      </c>
      <c r="V28" s="52">
        <v>9</v>
      </c>
      <c r="W28" s="53">
        <v>498</v>
      </c>
      <c r="X28" s="53">
        <v>429</v>
      </c>
      <c r="Y28" s="56">
        <v>3</v>
      </c>
      <c r="AI28" s="71"/>
      <c r="AJ28" s="71"/>
      <c r="AK28" s="71"/>
      <c r="AL28" s="71"/>
      <c r="AM28" s="71"/>
    </row>
    <row r="29" spans="8:39" ht="12">
      <c r="H29" s="62">
        <v>10</v>
      </c>
      <c r="I29" s="63">
        <v>548</v>
      </c>
      <c r="J29" s="63">
        <v>466</v>
      </c>
      <c r="K29" s="67"/>
      <c r="L29" s="74"/>
      <c r="M29" s="62">
        <v>10</v>
      </c>
      <c r="N29" s="63">
        <v>558</v>
      </c>
      <c r="O29" s="63">
        <v>473</v>
      </c>
      <c r="P29" s="67"/>
      <c r="V29" s="52">
        <v>10</v>
      </c>
      <c r="W29" s="53">
        <v>512</v>
      </c>
      <c r="X29" s="53">
        <v>440</v>
      </c>
      <c r="Y29" s="56">
        <v>3</v>
      </c>
      <c r="AI29" s="71"/>
      <c r="AJ29" s="71"/>
      <c r="AK29" s="71"/>
      <c r="AL29" s="71"/>
      <c r="AM29" s="71"/>
    </row>
    <row r="30" spans="16:39" ht="12">
      <c r="P30" s="71"/>
      <c r="V30" s="52">
        <v>11</v>
      </c>
      <c r="W30" s="53">
        <v>529</v>
      </c>
      <c r="X30" s="53">
        <v>453</v>
      </c>
      <c r="Y30" s="56">
        <v>3</v>
      </c>
      <c r="AI30" s="71"/>
      <c r="AJ30" s="71"/>
      <c r="AK30" s="71"/>
      <c r="AL30" s="71"/>
      <c r="AM30" s="71"/>
    </row>
    <row r="31" spans="16:39" ht="12">
      <c r="P31" s="71"/>
      <c r="V31" s="52">
        <v>12</v>
      </c>
      <c r="W31" s="53">
        <v>559</v>
      </c>
      <c r="X31" s="53">
        <v>474</v>
      </c>
      <c r="Y31" s="56">
        <v>4</v>
      </c>
      <c r="AI31" s="71"/>
      <c r="AJ31" s="71"/>
      <c r="AK31" s="71"/>
      <c r="AL31" s="71"/>
      <c r="AM31" s="71"/>
    </row>
    <row r="32" spans="16:39" ht="12">
      <c r="P32" s="71"/>
      <c r="V32" s="62">
        <v>13</v>
      </c>
      <c r="W32" s="63">
        <v>591</v>
      </c>
      <c r="X32" s="63">
        <v>498</v>
      </c>
      <c r="Y32" s="90"/>
      <c r="AI32" s="71"/>
      <c r="AJ32" s="71"/>
      <c r="AK32" s="71"/>
      <c r="AL32" s="74"/>
      <c r="AM32" s="71"/>
    </row>
    <row r="33" spans="16:39" ht="12">
      <c r="P33" s="71"/>
      <c r="V33" s="71"/>
      <c r="W33" s="71"/>
      <c r="X33" s="71"/>
      <c r="Y33" s="74"/>
      <c r="AI33" s="71"/>
      <c r="AJ33" s="71"/>
      <c r="AK33" s="71"/>
      <c r="AL33" s="71"/>
      <c r="AM33" s="71"/>
    </row>
    <row r="34" spans="16:39" ht="12">
      <c r="P34" s="71"/>
      <c r="V34" s="71"/>
      <c r="W34" s="71"/>
      <c r="X34" s="71"/>
      <c r="Y34" s="74"/>
      <c r="AI34" s="71"/>
      <c r="AJ34" s="71"/>
      <c r="AK34" s="71"/>
      <c r="AL34" s="71"/>
      <c r="AM34" s="71"/>
    </row>
    <row r="35" spans="16:25" ht="12">
      <c r="P35" s="71"/>
      <c r="V35" s="71"/>
      <c r="W35" s="71"/>
      <c r="X35" s="71"/>
      <c r="Y35" s="74"/>
    </row>
    <row r="36" spans="1:32" ht="22.5">
      <c r="A36" s="490" t="s">
        <v>79</v>
      </c>
      <c r="B36" s="490"/>
      <c r="C36" s="490"/>
      <c r="D36" s="490"/>
      <c r="E36" s="490"/>
      <c r="F36" s="490"/>
      <c r="G36" s="490"/>
      <c r="H36" s="490"/>
      <c r="I36" s="490"/>
      <c r="J36" s="490"/>
      <c r="K36" s="490"/>
      <c r="L36" s="490"/>
      <c r="M36" s="490"/>
      <c r="N36" s="490"/>
      <c r="P36" s="71"/>
      <c r="S36" s="490" t="s">
        <v>80</v>
      </c>
      <c r="T36" s="490"/>
      <c r="U36" s="490"/>
      <c r="V36" s="490"/>
      <c r="W36" s="490"/>
      <c r="X36" s="490"/>
      <c r="Y36" s="490"/>
      <c r="Z36" s="490"/>
      <c r="AA36" s="490"/>
      <c r="AB36" s="490"/>
      <c r="AC36" s="490"/>
      <c r="AD36" s="490"/>
      <c r="AE36" s="490"/>
      <c r="AF36" s="490"/>
    </row>
    <row r="37" spans="1:32" ht="12.75" customHeight="1">
      <c r="A37" t="s">
        <v>137</v>
      </c>
      <c r="B37" s="113">
        <f>IF('reclas promo CenB au 01_01_2016'!$B$20="oui",'reclas promo CenB au 01_01_2016'!B21,"")</f>
      </c>
      <c r="C37" s="113"/>
      <c r="D37" s="113"/>
      <c r="E37" s="113"/>
      <c r="F37" s="113"/>
      <c r="G37" s="113"/>
      <c r="H37" s="113"/>
      <c r="I37" s="113"/>
      <c r="J37" s="113"/>
      <c r="K37" s="113"/>
      <c r="L37" s="113"/>
      <c r="M37" s="113"/>
      <c r="N37" s="113"/>
      <c r="P37" s="71"/>
      <c r="S37" s="114"/>
      <c r="T37" s="114"/>
      <c r="U37" s="71"/>
      <c r="V37" s="71"/>
      <c r="W37" s="71"/>
      <c r="X37" s="71"/>
      <c r="Y37" s="71"/>
      <c r="Z37" s="113"/>
      <c r="AA37" s="113"/>
      <c r="AB37" s="113"/>
      <c r="AC37" s="113"/>
      <c r="AD37" s="113"/>
      <c r="AE37" s="113"/>
      <c r="AF37" s="113"/>
    </row>
    <row r="38" spans="1:32" ht="12.75" customHeight="1">
      <c r="A38" t="s">
        <v>136</v>
      </c>
      <c r="B38" s="113">
        <f>IF('reclas promo CenB au 01_01_2016'!$B$20="oui",'reclas promo CenB au 01_01_2016'!B22,"")</f>
      </c>
      <c r="C38" s="113">
        <f>IF('reclas promo CenB au 01_01_2016'!$B$20="oui",'reclas promo CenB au 01_01_2016'!C22,"")</f>
      </c>
      <c r="D38" s="239">
        <f>IF('reclas promo CenB au 01_01_2016'!$B$20="oui",'reclas promo CenB au 01_01_2016'!D22,"")</f>
      </c>
      <c r="E38" s="113"/>
      <c r="F38" s="113"/>
      <c r="G38" s="113"/>
      <c r="H38" s="113"/>
      <c r="I38" s="113"/>
      <c r="J38" s="113"/>
      <c r="K38" s="113"/>
      <c r="L38" s="113"/>
      <c r="M38" s="113"/>
      <c r="N38" s="113"/>
      <c r="P38" s="71"/>
      <c r="S38" s="115" t="str">
        <f>'reclas PPCR B au 01_01_2017'!A10</f>
        <v>ÉCHELON dans le 1er grade du NES</v>
      </c>
      <c r="T38" s="114">
        <f>'reclas PPCR B au 01_01_2017'!B10</f>
        <v>10</v>
      </c>
      <c r="U38" s="71"/>
      <c r="V38" s="71"/>
      <c r="W38" s="71"/>
      <c r="X38" s="71"/>
      <c r="Y38" s="71"/>
      <c r="Z38" s="71"/>
      <c r="AA38" s="71"/>
      <c r="AB38" s="71"/>
      <c r="AC38" s="71"/>
      <c r="AD38" s="113"/>
      <c r="AE38" s="113"/>
      <c r="AF38" s="113"/>
    </row>
    <row r="39" spans="2:32" ht="12.75" customHeight="1">
      <c r="B39" s="240" t="s">
        <v>21</v>
      </c>
      <c r="C39" s="240" t="s">
        <v>22</v>
      </c>
      <c r="D39" s="240" t="s">
        <v>23</v>
      </c>
      <c r="E39" s="113"/>
      <c r="F39" s="113"/>
      <c r="G39" s="113"/>
      <c r="H39" s="113"/>
      <c r="I39" s="113"/>
      <c r="J39" s="113"/>
      <c r="K39" s="113"/>
      <c r="L39" s="113"/>
      <c r="M39" s="113"/>
      <c r="N39" s="113"/>
      <c r="P39" s="71"/>
      <c r="S39" s="116"/>
      <c r="T39" s="71"/>
      <c r="U39" s="71"/>
      <c r="V39" s="71"/>
      <c r="W39" s="71"/>
      <c r="X39" s="71"/>
      <c r="Y39" s="71"/>
      <c r="Z39" s="71"/>
      <c r="AA39" s="71"/>
      <c r="AB39" s="71"/>
      <c r="AC39" s="71"/>
      <c r="AD39" s="113"/>
      <c r="AE39" s="113"/>
      <c r="AF39" s="113"/>
    </row>
    <row r="40" spans="1:32" ht="12.75" customHeight="1">
      <c r="A40" t="s">
        <v>150</v>
      </c>
      <c r="B40" s="240">
        <f>IF('reclas promo CenB au 01_01_2016'!$B$20="oui",'reclas promo CenB au 01_01_2016'!B24,"")</f>
      </c>
      <c r="C40" s="240">
        <f>IF('reclas promo CenB au 01_01_2016'!$B$20="oui",'reclas promo CenB au 01_01_2016'!C24,"")</f>
      </c>
      <c r="D40" s="240">
        <f>IF('reclas promo CenB au 01_01_2016'!$B$20="oui",'reclas promo CenB au 01_01_2016'!D24,"")</f>
      </c>
      <c r="E40" s="238">
        <f>IF('reclas promo CenB au 01_01_2016'!$B$20="oui",'reclas promo CenB au 01_01_2016'!E24,"")</f>
      </c>
      <c r="F40" t="s">
        <v>108</v>
      </c>
      <c r="G40" s="113"/>
      <c r="H40" s="113"/>
      <c r="I40" s="113"/>
      <c r="J40" s="113"/>
      <c r="K40" s="113"/>
      <c r="L40" s="113"/>
      <c r="M40" s="113"/>
      <c r="N40" s="113"/>
      <c r="P40" s="71"/>
      <c r="S40" s="116"/>
      <c r="T40" s="71" t="str">
        <f>'reclas PPCR B au 01_01_2017'!B12</f>
        <v>A</v>
      </c>
      <c r="U40" s="71" t="str">
        <f>'reclas PPCR B au 01_01_2017'!C12</f>
        <v>M</v>
      </c>
      <c r="V40" s="71" t="str">
        <f>'reclas PPCR B au 01_01_2017'!D12</f>
        <v>J</v>
      </c>
      <c r="W40" s="71"/>
      <c r="X40" s="71"/>
      <c r="Y40" s="71"/>
      <c r="Z40" s="71"/>
      <c r="AA40" s="71"/>
      <c r="AB40" s="71"/>
      <c r="AC40" s="71"/>
      <c r="AD40" s="113"/>
      <c r="AE40" s="113"/>
      <c r="AF40" s="113"/>
    </row>
    <row r="41" spans="1:32" ht="12.75" customHeight="1" thickBot="1">
      <c r="A41" s="116" t="s">
        <v>116</v>
      </c>
      <c r="B41" s="113">
        <f>IF('reclas promo CenB au 01_01_2016'!$B$20="oui",'reclas promo CenB au 01_01_2016'!B3,"")</f>
      </c>
      <c r="C41" s="113" t="s">
        <v>106</v>
      </c>
      <c r="D41" s="139">
        <f>B41</f>
      </c>
      <c r="E41" s="113"/>
      <c r="F41" s="113"/>
      <c r="G41" s="113"/>
      <c r="H41" s="113"/>
      <c r="I41" s="113"/>
      <c r="J41" s="113"/>
      <c r="K41" s="113"/>
      <c r="L41" s="113"/>
      <c r="M41" s="113"/>
      <c r="N41" s="113"/>
      <c r="P41" s="71"/>
      <c r="S41" s="116" t="str">
        <f>'reclas PPCR B au 01_01_2017'!A13</f>
        <v>Reliquat d’ancienneté à prendre en compte</v>
      </c>
      <c r="T41" s="71">
        <f>'reclas PPCR B au 01_01_2017'!B13</f>
        <v>1</v>
      </c>
      <c r="U41" s="71">
        <f>'reclas PPCR B au 01_01_2017'!C13</f>
        <v>11</v>
      </c>
      <c r="V41" s="71">
        <f>'reclas PPCR B au 01_01_2017'!D13</f>
        <v>0</v>
      </c>
      <c r="W41" s="71">
        <f>'reclas PPCR B au 01_01_2017'!E13</f>
        <v>690</v>
      </c>
      <c r="X41" s="71" t="str">
        <f>'reclas PPCR B au 01_01_2017'!F13</f>
        <v>jours</v>
      </c>
      <c r="Y41" s="71"/>
      <c r="Z41" s="71"/>
      <c r="AA41" s="71"/>
      <c r="AB41" s="71"/>
      <c r="AC41" s="71"/>
      <c r="AD41" s="113"/>
      <c r="AE41" s="113"/>
      <c r="AF41" s="113"/>
    </row>
    <row r="42" spans="5:32" ht="12.75" customHeight="1">
      <c r="E42" s="113"/>
      <c r="F42" s="113"/>
      <c r="G42" s="113"/>
      <c r="H42" s="113"/>
      <c r="I42" s="113"/>
      <c r="J42" s="113"/>
      <c r="K42" s="113"/>
      <c r="L42" s="113"/>
      <c r="M42" s="113"/>
      <c r="N42" s="113"/>
      <c r="P42" s="71"/>
      <c r="S42" s="116" t="str">
        <f>'reclas PPCR B au 01_01_2017'!A14</f>
        <v>Durée échelon (en année)</v>
      </c>
      <c r="T42" s="71">
        <f>'reclas PPCR B au 01_01_2017'!B14</f>
        <v>4</v>
      </c>
      <c r="U42" s="71"/>
      <c r="V42" s="71"/>
      <c r="W42" s="71">
        <f>'reclas PPCR B au 01_01_2017'!E14</f>
        <v>1440</v>
      </c>
      <c r="X42" s="71" t="str">
        <f>'reclas PPCR B au 01_01_2017'!F14</f>
        <v>jours</v>
      </c>
      <c r="Y42" s="71"/>
      <c r="Z42" s="71"/>
      <c r="AA42" s="71"/>
      <c r="AB42" s="71"/>
      <c r="AC42" s="71"/>
      <c r="AD42" s="113"/>
      <c r="AE42" s="113"/>
      <c r="AF42" s="113"/>
    </row>
    <row r="43" spans="1:32" ht="12.75" customHeight="1">
      <c r="A43" s="112"/>
      <c r="B43" s="113"/>
      <c r="C43" s="113"/>
      <c r="D43" s="113"/>
      <c r="E43" s="113"/>
      <c r="F43" s="113"/>
      <c r="G43" s="113"/>
      <c r="H43" s="113"/>
      <c r="I43" s="113"/>
      <c r="J43" s="113"/>
      <c r="K43" s="113"/>
      <c r="L43" s="113"/>
      <c r="M43" s="113"/>
      <c r="N43" s="113"/>
      <c r="P43" s="71"/>
      <c r="S43" s="116" t="str">
        <f>'reclas PPCR B au 01_01_2017'!A15</f>
        <v>date prochain échelon</v>
      </c>
      <c r="T43" s="71">
        <f>'reclas PPCR B au 01_01_2017'!B15</f>
        <v>43120</v>
      </c>
      <c r="U43" s="71" t="str">
        <f>'reclas PPCR B au 01_01_2017'!C15</f>
        <v>soit</v>
      </c>
      <c r="V43" s="117">
        <f>'reclas PPCR B au 01_01_2017'!D15</f>
        <v>43120</v>
      </c>
      <c r="W43" s="71"/>
      <c r="X43" s="71"/>
      <c r="Y43" s="71"/>
      <c r="Z43" s="71"/>
      <c r="AA43" s="71"/>
      <c r="AB43" s="71"/>
      <c r="AC43" s="71"/>
      <c r="AD43" s="113"/>
      <c r="AE43" s="113"/>
      <c r="AF43" s="113"/>
    </row>
    <row r="44" spans="1:32" ht="12.75" customHeight="1">
      <c r="A44" s="112"/>
      <c r="B44" s="113"/>
      <c r="C44" s="113"/>
      <c r="D44" s="113"/>
      <c r="E44" s="113"/>
      <c r="F44" s="113"/>
      <c r="G44" s="113"/>
      <c r="H44" s="113"/>
      <c r="I44" s="113"/>
      <c r="J44" s="113"/>
      <c r="K44" s="113"/>
      <c r="L44" s="113"/>
      <c r="M44" s="113"/>
      <c r="N44" s="113"/>
      <c r="P44" s="71"/>
      <c r="S44" s="116"/>
      <c r="T44" s="71"/>
      <c r="U44" s="71"/>
      <c r="V44" s="71"/>
      <c r="W44" s="71"/>
      <c r="X44" s="71"/>
      <c r="Y44" s="71"/>
      <c r="Z44" s="71"/>
      <c r="AA44" s="71"/>
      <c r="AB44" s="71"/>
      <c r="AC44" s="71"/>
      <c r="AD44" s="113"/>
      <c r="AE44" s="113"/>
      <c r="AF44" s="113"/>
    </row>
    <row r="45" spans="16:35" ht="12.75" customHeight="1">
      <c r="P45" s="71"/>
      <c r="S45" s="116">
        <f>'reclas PPCR B au 01_01_2017'!A17</f>
      </c>
      <c r="T45" s="118">
        <f>'reclas PPCR B au 01_01_2017'!B17</f>
      </c>
      <c r="U45" s="71"/>
      <c r="V45" s="71"/>
      <c r="W45" s="71"/>
      <c r="X45" s="71"/>
      <c r="Y45" s="71"/>
      <c r="Z45" s="71"/>
      <c r="AA45" s="71"/>
      <c r="AB45" s="71"/>
      <c r="AC45" s="71"/>
      <c r="AD45" s="71"/>
      <c r="AE45" s="71"/>
      <c r="AF45" s="71"/>
      <c r="AG45" s="71"/>
      <c r="AH45" s="71"/>
      <c r="AI45" s="71"/>
    </row>
    <row r="46" spans="4:35" ht="12.75">
      <c r="D46" s="142"/>
      <c r="P46" s="71"/>
      <c r="S46" s="116">
        <f>'reclas PPCR B au 01_01_2017'!A18</f>
      </c>
      <c r="T46" s="118">
        <f>'reclas PPCR B au 01_01_2017'!B18</f>
      </c>
      <c r="U46" s="118">
        <f>'reclas PPCR B au 01_01_2017'!C18</f>
      </c>
      <c r="V46" s="117">
        <f>'reclas PPCR B au 01_01_2017'!D18</f>
      </c>
      <c r="W46" s="71"/>
      <c r="X46" s="71"/>
      <c r="Y46" s="71"/>
      <c r="Z46" s="71"/>
      <c r="AA46" s="71"/>
      <c r="AB46" s="71"/>
      <c r="AC46" s="71"/>
      <c r="AD46" s="71"/>
      <c r="AE46" s="71"/>
      <c r="AF46" s="71"/>
      <c r="AG46" s="71"/>
      <c r="AH46" s="71"/>
      <c r="AI46" s="71"/>
    </row>
    <row r="47" spans="1:35" ht="12">
      <c r="A47" s="119"/>
      <c r="P47" s="71"/>
      <c r="S47" s="74">
        <f>'reclas PPCR B au 01_01_2017'!A19</f>
        <v>0</v>
      </c>
      <c r="T47" s="118">
        <f>'reclas PPCR B au 01_01_2017'!B19</f>
        <v>0</v>
      </c>
      <c r="U47" s="71"/>
      <c r="V47" s="71"/>
      <c r="W47" s="71"/>
      <c r="X47" s="71"/>
      <c r="Y47" s="71"/>
      <c r="Z47" s="71"/>
      <c r="AA47" s="71"/>
      <c r="AB47" s="71"/>
      <c r="AC47" s="71"/>
      <c r="AD47" s="71"/>
      <c r="AE47" s="71"/>
      <c r="AF47" s="71"/>
      <c r="AG47" s="71"/>
      <c r="AH47" s="71"/>
      <c r="AI47" s="71"/>
    </row>
    <row r="48" spans="12:35" ht="12">
      <c r="L48" s="120"/>
      <c r="P48" s="71"/>
      <c r="Q48" s="71"/>
      <c r="R48" s="121"/>
      <c r="S48" s="116"/>
      <c r="T48" s="71"/>
      <c r="U48" s="71"/>
      <c r="V48" s="71"/>
      <c r="W48" s="71"/>
      <c r="X48" s="71"/>
      <c r="Y48" s="71"/>
      <c r="Z48" s="71"/>
      <c r="AA48" s="71"/>
      <c r="AB48" s="71"/>
      <c r="AC48" s="71"/>
      <c r="AD48" s="71"/>
      <c r="AE48" s="71"/>
      <c r="AF48" s="71"/>
      <c r="AG48" s="71"/>
      <c r="AH48" s="71"/>
      <c r="AI48" s="71"/>
    </row>
    <row r="49" spans="1:35" ht="12">
      <c r="A49" t="str">
        <f>'reclas PPCR C au 01_01_2017'!A42</f>
        <v>RECAPITULATIF</v>
      </c>
      <c r="P49" s="71"/>
      <c r="Q49" s="71"/>
      <c r="R49" s="121"/>
      <c r="S49" s="116" t="str">
        <f>'reclas PPCR B au 01_01_2017'!A24</f>
        <v>RECAPITULATIF</v>
      </c>
      <c r="T49" s="71"/>
      <c r="U49" s="71"/>
      <c r="V49" s="71"/>
      <c r="W49" s="71"/>
      <c r="X49" s="71"/>
      <c r="Y49" s="71"/>
      <c r="Z49" s="71"/>
      <c r="AA49" s="71"/>
      <c r="AB49" s="71"/>
      <c r="AC49" s="71"/>
      <c r="AD49" s="71"/>
      <c r="AE49" s="71"/>
      <c r="AF49" s="71"/>
      <c r="AG49" s="71"/>
      <c r="AH49" s="71"/>
      <c r="AI49" s="71"/>
    </row>
    <row r="50" spans="1:35" ht="12">
      <c r="A50" t="str">
        <f>'reclas PPCR C au 01_01_2017'!A43</f>
        <v>ECHELON</v>
      </c>
      <c r="B50">
        <f>IF('reclas promo CenB au 01_01_2016'!$B$20="oui",B13,'reclas PPCR C au 01_01_2017'!B43)</f>
        <v>7</v>
      </c>
      <c r="L50" s="71"/>
      <c r="M50" s="71"/>
      <c r="N50" s="71"/>
      <c r="O50" s="71"/>
      <c r="P50" s="71"/>
      <c r="Q50" s="71"/>
      <c r="R50" s="121"/>
      <c r="S50" s="116" t="str">
        <f>'reclas PPCR B au 01_01_2017'!A25</f>
        <v>ECHELON</v>
      </c>
      <c r="T50" s="118">
        <f>'reclas PPCR B au 01_01_2017'!B25</f>
        <v>10</v>
      </c>
      <c r="U50" s="71"/>
      <c r="V50" s="71"/>
      <c r="W50" s="71"/>
      <c r="X50" s="71"/>
      <c r="Y50" s="71"/>
      <c r="Z50" s="71"/>
      <c r="AA50" s="71"/>
      <c r="AB50" s="71"/>
      <c r="AC50" s="71"/>
      <c r="AD50" s="71"/>
      <c r="AE50" s="71"/>
      <c r="AF50" s="71"/>
      <c r="AG50" s="71"/>
      <c r="AH50" s="71"/>
      <c r="AI50" s="71"/>
    </row>
    <row r="51" spans="1:35" ht="12.75">
      <c r="A51" t="str">
        <f>'reclas PPCR C au 01_01_2017'!A44</f>
        <v>DATE EFFET</v>
      </c>
      <c r="B51">
        <f>IF('reclas promo CenB au 01_01_2016'!$B$20="oui",B14,'reclas PPCR C au 01_01_2017'!B44)</f>
        <v>41671</v>
      </c>
      <c r="C51" t="str">
        <f>'reclas PPCR C au 01_01_2017'!C44</f>
        <v>soit</v>
      </c>
      <c r="D51" s="117">
        <f>'reclas PPCR C au 01_01_2017'!D44</f>
        <v>41671</v>
      </c>
      <c r="S51" s="116" t="str">
        <f>'reclas PPCR B au 01_01_2017'!A26</f>
        <v>Date d’effet</v>
      </c>
      <c r="T51" s="118">
        <f>'reclas PPCR B au 01_01_2017'!B26</f>
        <v>42370</v>
      </c>
      <c r="U51" s="118" t="str">
        <f>'reclas PPCR B au 01_01_2017'!C26</f>
        <v>soit</v>
      </c>
      <c r="V51" s="117">
        <f>'reclas PPCR B au 01_01_2017'!D26</f>
        <v>42370</v>
      </c>
      <c r="W51" s="71"/>
      <c r="X51" s="71"/>
      <c r="Y51" s="71"/>
      <c r="Z51" s="71"/>
      <c r="AA51" s="71"/>
      <c r="AB51" s="71"/>
      <c r="AC51" s="71"/>
      <c r="AD51" s="71"/>
      <c r="AE51" s="71"/>
      <c r="AF51" s="71"/>
      <c r="AG51" s="71"/>
      <c r="AH51" s="71"/>
      <c r="AI51" s="71"/>
    </row>
    <row r="52" spans="2:35" ht="12">
      <c r="B52" s="122" t="s">
        <v>21</v>
      </c>
      <c r="C52" s="122" t="s">
        <v>22</v>
      </c>
      <c r="D52" s="122" t="s">
        <v>23</v>
      </c>
      <c r="S52" s="116"/>
      <c r="T52" s="70" t="str">
        <f>'reclas PPCR B au 01_01_2017'!B27</f>
        <v>A</v>
      </c>
      <c r="U52" s="70" t="str">
        <f>'reclas PPCR B au 01_01_2017'!C20</f>
        <v>M</v>
      </c>
      <c r="V52" s="70" t="str">
        <f>'reclas PPCR B au 01_01_2017'!D20</f>
        <v>J</v>
      </c>
      <c r="W52" s="71"/>
      <c r="X52" s="71"/>
      <c r="Y52" s="71"/>
      <c r="Z52" s="71"/>
      <c r="AA52" s="71"/>
      <c r="AB52" s="71"/>
      <c r="AC52" s="71"/>
      <c r="AD52" s="71"/>
      <c r="AE52" s="71"/>
      <c r="AF52" s="71"/>
      <c r="AG52" s="71"/>
      <c r="AH52" s="71"/>
      <c r="AI52" s="71"/>
    </row>
    <row r="53" spans="1:35" ht="12">
      <c r="A53" t="str">
        <f>'reclas PPCR C au 01_01_2017'!A46</f>
        <v>RELIQUAT</v>
      </c>
      <c r="B53" s="122">
        <f>IF('reclas promo CenB au 01_01_2016'!$B$20="oui",B17,'reclas PPCR C au 01_01_2017'!B46)</f>
        <v>0</v>
      </c>
      <c r="C53" s="122">
        <f>IF('reclas promo CenB au 01_01_2016'!$B$20="oui",C17,'reclas PPCR C au 01_01_2017'!C46)</f>
        <v>0</v>
      </c>
      <c r="D53" s="122">
        <f>IF('reclas promo CenB au 01_01_2016'!$B$20="oui",D17,'reclas PPCR C au 01_01_2017'!D46)</f>
        <v>0</v>
      </c>
      <c r="E53" s="241">
        <f>IF('reclas promo CenB au 01_01_2016'!$B$20="oui",E17,'reclas PPCR C au 01_01_2017'!E46)</f>
        <v>0</v>
      </c>
      <c r="F53" t="str">
        <f>'reclas PPCR C au 01_01_2017'!F46</f>
        <v>jours</v>
      </c>
      <c r="S53" s="116" t="str">
        <f>'reclas PPCR B au 01_01_2017'!A28</f>
        <v>Reliquat d’ancienneté détenu au 1/2/2014</v>
      </c>
      <c r="T53" s="70">
        <f>'reclas PPCR B au 01_01_2017'!B28</f>
        <v>1</v>
      </c>
      <c r="U53" s="70">
        <f>'reclas PPCR B au 01_01_2017'!C28</f>
        <v>11</v>
      </c>
      <c r="V53" s="70">
        <f>'reclas PPCR B au 01_01_2017'!D28</f>
        <v>0</v>
      </c>
      <c r="W53" s="118">
        <f>'reclas PPCR B au 01_01_2017'!E28</f>
        <v>690</v>
      </c>
      <c r="X53" s="118" t="str">
        <f>'reclas PPCR B au 01_01_2017'!F21</f>
        <v>jours</v>
      </c>
      <c r="Y53" s="71"/>
      <c r="Z53" s="71"/>
      <c r="AA53" s="71"/>
      <c r="AB53" s="71"/>
      <c r="AC53" s="71"/>
      <c r="AD53" s="71"/>
      <c r="AE53" s="71"/>
      <c r="AF53" s="71"/>
      <c r="AG53" s="71"/>
      <c r="AH53" s="71"/>
      <c r="AI53" s="71"/>
    </row>
    <row r="54" ht="12">
      <c r="S54" s="123"/>
    </row>
    <row r="55" ht="12">
      <c r="S55" s="124"/>
    </row>
    <row r="56" spans="1:24" ht="12">
      <c r="A56" s="125" t="str">
        <f>'reclas PPCR C au 01_01_2017'!A63</f>
        <v>ÉCHELON dans le C3 au 01/01/2017</v>
      </c>
      <c r="B56" s="126">
        <f>'reclas PPCR C au 01_01_2017'!B63</f>
        <v>8</v>
      </c>
      <c r="C56" s="127"/>
      <c r="D56" s="128"/>
      <c r="S56" s="125" t="str">
        <f>'reclas PPCR B au 01_01_2017'!A46</f>
        <v>ÉCHELON dans le B1 au 01/01/2017</v>
      </c>
      <c r="T56" s="126">
        <f>'reclas PPCR B au 01_01_2017'!B46</f>
        <v>9</v>
      </c>
      <c r="U56" s="126"/>
      <c r="V56" s="129"/>
      <c r="W56" s="60"/>
      <c r="X56" s="60"/>
    </row>
    <row r="57" spans="1:24" ht="12">
      <c r="A57" s="100"/>
      <c r="B57" s="71"/>
      <c r="C57" s="71"/>
      <c r="D57" s="101"/>
      <c r="S57" s="130"/>
      <c r="T57" s="98"/>
      <c r="U57" s="98"/>
      <c r="V57" s="131"/>
      <c r="W57" s="60"/>
      <c r="X57" s="60"/>
    </row>
    <row r="58" spans="1:24" ht="12">
      <c r="A58" s="100"/>
      <c r="B58" s="70" t="str">
        <f>'reclas PPCR C au 01_01_2017'!B65</f>
        <v>A</v>
      </c>
      <c r="C58" s="70" t="str">
        <f>'reclas PPCR C au 01_01_2017'!C65</f>
        <v>M</v>
      </c>
      <c r="D58" s="132" t="str">
        <f>'reclas PPCR C au 01_01_2017'!D65</f>
        <v>J</v>
      </c>
      <c r="S58" s="130"/>
      <c r="T58" s="133" t="str">
        <f>'reclas PPCR B au 01_01_2017'!B48</f>
        <v>A</v>
      </c>
      <c r="U58" s="133" t="str">
        <f>'reclas PPCR B au 01_01_2017'!C48</f>
        <v>M</v>
      </c>
      <c r="V58" s="134" t="str">
        <f>'reclas PPCR B au 01_01_2017'!D48</f>
        <v>J</v>
      </c>
      <c r="W58" s="60"/>
      <c r="X58" s="60"/>
    </row>
    <row r="59" spans="1:24" ht="24">
      <c r="A59" s="70" t="str">
        <f>'reclas PPCR C au 01_01_2017'!A66</f>
        <v>Reliquat d’ancienneté à prendre en compte</v>
      </c>
      <c r="B59" s="70">
        <f>'reclas PPCR C au 01_01_2017'!B66</f>
        <v>2</v>
      </c>
      <c r="C59" s="70">
        <f>'reclas PPCR C au 01_01_2017'!C66</f>
        <v>4</v>
      </c>
      <c r="D59" s="70">
        <f>'reclas PPCR C au 01_01_2017'!D66</f>
        <v>15</v>
      </c>
      <c r="S59" s="135" t="str">
        <f>'reclas PPCR B au 01_01_2017'!A49</f>
        <v>Reliquat d’ancienneté à prendre en compte (hors bonif)</v>
      </c>
      <c r="T59" s="133">
        <f>'reclas PPCR B au 01_01_2017'!B49</f>
        <v>2</v>
      </c>
      <c r="U59" s="133">
        <f>'reclas PPCR B au 01_01_2017'!C49</f>
        <v>11</v>
      </c>
      <c r="V59" s="134">
        <f>'reclas PPCR B au 01_01_2017'!D49</f>
        <v>0</v>
      </c>
      <c r="W59" s="136">
        <f>'reclas PPCR B au 01_01_2017'!E49</f>
        <v>1050</v>
      </c>
      <c r="X59" s="136" t="str">
        <f>'reclas PPCR B au 01_01_2017'!F49</f>
        <v>jours</v>
      </c>
    </row>
    <row r="60" spans="1:24" ht="12">
      <c r="A60" s="100" t="str">
        <f>'reclas PPCR C au 01_01_2017'!A67</f>
        <v>Durée échelon (en année)</v>
      </c>
      <c r="B60" s="70">
        <f>'reclas PPCR C au 01_01_2017'!B67</f>
        <v>3</v>
      </c>
      <c r="C60" s="71"/>
      <c r="D60" s="101"/>
      <c r="S60" s="130" t="str">
        <f>'reclas PPCR B au 01_01_2017'!A50</f>
        <v>Durée échelon (en année)</v>
      </c>
      <c r="T60" s="98">
        <f>'reclas PPCR B au 01_01_2017'!B50</f>
        <v>3</v>
      </c>
      <c r="U60" s="98"/>
      <c r="V60" s="131"/>
      <c r="W60" s="136">
        <f>'reclas PPCR B au 01_01_2017'!E50</f>
        <v>1080</v>
      </c>
      <c r="X60" s="136" t="str">
        <f>'reclas PPCR B au 01_01_2017'!F50</f>
        <v>jours</v>
      </c>
    </row>
    <row r="61" spans="1:24" ht="13.5" thickBot="1">
      <c r="A61" s="137" t="str">
        <f>'reclas PPCR C au 01_01_2017'!A68</f>
        <v>date prochain échelon</v>
      </c>
      <c r="B61" s="70">
        <f>'reclas PPCR C au 01_01_2017'!B68</f>
        <v>42961</v>
      </c>
      <c r="C61" s="138" t="str">
        <f>'reclas PPCR C au 01_01_2017'!C68</f>
        <v>soit</v>
      </c>
      <c r="D61" s="117">
        <f>'reclas PPCR C au 01_01_2017'!D68</f>
        <v>42961</v>
      </c>
      <c r="S61" s="140" t="str">
        <f>'reclas PPCR B au 01_01_2017'!A51</f>
        <v>date prochain échelon</v>
      </c>
      <c r="T61" s="141">
        <f>'reclas PPCR B au 01_01_2017'!B51</f>
        <v>42766</v>
      </c>
      <c r="U61" s="141" t="str">
        <f>'reclas PPCR B au 01_01_2017'!C51</f>
        <v>soit</v>
      </c>
      <c r="V61" s="117">
        <f>'reclas PPCR B au 01_01_2017'!D51</f>
        <v>42766</v>
      </c>
      <c r="W61" s="60"/>
      <c r="X61" s="60"/>
    </row>
    <row r="62" spans="1:22" ht="12.75">
      <c r="A62" s="71"/>
      <c r="B62" s="71"/>
      <c r="C62" s="71"/>
      <c r="D62" s="142"/>
      <c r="S62" s="71"/>
      <c r="T62" s="71"/>
      <c r="U62" s="71"/>
      <c r="V62" s="142"/>
    </row>
    <row r="63" spans="1:24" ht="12.75">
      <c r="A63" s="71"/>
      <c r="B63" s="71">
        <v>2016</v>
      </c>
      <c r="C63" s="71"/>
      <c r="D63" s="142"/>
      <c r="E63">
        <v>42370</v>
      </c>
      <c r="F63" s="143">
        <v>42370</v>
      </c>
      <c r="S63" s="71"/>
      <c r="T63" s="71">
        <v>2016</v>
      </c>
      <c r="U63" s="71"/>
      <c r="V63" s="142"/>
      <c r="W63">
        <v>42370</v>
      </c>
      <c r="X63" s="143">
        <v>42370</v>
      </c>
    </row>
    <row r="66" spans="2:26" ht="13.5" customHeight="1">
      <c r="B66" s="488" t="s">
        <v>79</v>
      </c>
      <c r="C66" s="488"/>
      <c r="D66" s="488"/>
      <c r="E66" s="488"/>
      <c r="F66" s="488"/>
      <c r="G66" s="488"/>
      <c r="H66" s="488"/>
      <c r="T66" s="488" t="s">
        <v>80</v>
      </c>
      <c r="U66" s="488"/>
      <c r="V66" s="488"/>
      <c r="W66" s="488"/>
      <c r="X66" s="488"/>
      <c r="Y66" s="488"/>
      <c r="Z66" s="488"/>
    </row>
    <row r="67" spans="2:26" ht="24">
      <c r="B67" s="486">
        <v>2016</v>
      </c>
      <c r="C67" s="486"/>
      <c r="D67" s="486"/>
      <c r="E67" s="486"/>
      <c r="F67" s="486"/>
      <c r="G67" s="486"/>
      <c r="H67" s="144" t="s">
        <v>81</v>
      </c>
      <c r="T67" s="487">
        <v>2016</v>
      </c>
      <c r="U67" s="487"/>
      <c r="V67" s="487"/>
      <c r="W67" s="487"/>
      <c r="X67" s="487"/>
      <c r="Y67" s="487"/>
      <c r="Z67" s="145" t="s">
        <v>81</v>
      </c>
    </row>
    <row r="68" spans="2:26" ht="12">
      <c r="B68" s="146" t="s">
        <v>82</v>
      </c>
      <c r="C68" s="147" t="s">
        <v>49</v>
      </c>
      <c r="D68" s="147" t="s">
        <v>50</v>
      </c>
      <c r="E68" s="147" t="s">
        <v>83</v>
      </c>
      <c r="F68" s="147" t="s">
        <v>84</v>
      </c>
      <c r="G68" s="148" t="s">
        <v>85</v>
      </c>
      <c r="H68" s="149" t="s">
        <v>86</v>
      </c>
      <c r="T68" s="150" t="s">
        <v>82</v>
      </c>
      <c r="U68" s="151" t="s">
        <v>49</v>
      </c>
      <c r="V68" s="151" t="s">
        <v>50</v>
      </c>
      <c r="W68" s="151" t="s">
        <v>83</v>
      </c>
      <c r="X68" s="151" t="s">
        <v>84</v>
      </c>
      <c r="Y68" s="152" t="s">
        <v>85</v>
      </c>
      <c r="Z68" s="153" t="s">
        <v>86</v>
      </c>
    </row>
    <row r="69" spans="2:26" ht="12">
      <c r="B69" s="52">
        <f>IF('reclas promo CenB au 01_01_2016'!$B$20="oui",B37,B13)</f>
        <v>7</v>
      </c>
      <c r="C69" s="53">
        <f>VLOOKUP(B69,H3:L11,2,1)</f>
        <v>488</v>
      </c>
      <c r="D69" s="53">
        <f>VLOOKUP(B69,H3:L11,3,1)</f>
        <v>422</v>
      </c>
      <c r="E69" s="53">
        <f>VLOOKUP(B69,H3:L11,4,1)</f>
        <v>4</v>
      </c>
      <c r="F69" s="154">
        <f>IF('reclas promo CenB au 01_01_2016'!$B$20="oui",D38,B14)</f>
        <v>41671</v>
      </c>
      <c r="G69" s="155">
        <f>IF('reclas promo CenB au 01_01_2016'!$B$20="oui",D41,IF('reclas PPCR C au 01_01_2017'!B9="OUI",'reclas PPCR C au 01_01_2017'!B11,IF('reclas PPCR C au 01_01_2017'!B30="OUI",'reclas PPCR C au 01_01_2017'!B32,IF('reclas PPCR C au 01_01_2017'!B21="OUI",'reclas PPCR C au 01_01_2017'!B24,-1+'reclas PPCR C au 01_01_2017'!D7))))</f>
        <v>43131</v>
      </c>
      <c r="H69" s="156">
        <f>IF(YEAR(G69)&gt;2016,12,IF(DAY(G69)=1,-1+MONTH(G69),MONTH(G69)))</f>
        <v>12</v>
      </c>
      <c r="T69" s="52">
        <f>T38</f>
        <v>10</v>
      </c>
      <c r="U69" s="53">
        <f>VLOOKUP(T69,V3:Y15,2,1)</f>
        <v>497</v>
      </c>
      <c r="V69" s="53">
        <f>VLOOKUP(T69,V3:Y15,3,1)</f>
        <v>428</v>
      </c>
      <c r="W69" s="53">
        <f>VLOOKUP(T69,V3:Y15,4,1)</f>
        <v>4</v>
      </c>
      <c r="X69" s="154">
        <v>42370</v>
      </c>
      <c r="Y69" s="155">
        <f>V43-1</f>
        <v>43119</v>
      </c>
      <c r="Z69" s="156">
        <f>IF(YEAR(Y69)&gt;2016,12,IF(DAY(Y69)=1,-1+MONTH(Y69),MONTH(Y69)))</f>
        <v>12</v>
      </c>
    </row>
    <row r="70" spans="2:26" ht="12.75" thickBot="1">
      <c r="B70" s="62">
        <f>IF(YEAR(G69)&gt;2016,"",B69+1)</f>
      </c>
      <c r="C70" s="63">
        <f>IF(B70="","",VLOOKUP(B70,H3:L11,2,1))</f>
      </c>
      <c r="D70" s="63">
        <f>IF(B70="","",VLOOKUP(B70,H3:L11,3,1))</f>
      </c>
      <c r="E70" s="63">
        <f>IF(B70="","",VLOOKUP(B70,H3:L11,4,1))</f>
      </c>
      <c r="F70" s="157">
        <f>IF(B70="","",1+G69)</f>
      </c>
      <c r="G70" s="158">
        <f>IF(B70="","",F70+(E70*365))</f>
      </c>
      <c r="H70" s="159">
        <f>IF(B70="","",IF(YEAR(G70&gt;2016),12-H69,-H69+IF(DAY(G70)=1,-1+MONTH(G70),MONTH(G70))))</f>
      </c>
      <c r="J70" s="143"/>
      <c r="K70" s="143"/>
      <c r="T70" s="62">
        <f>IF(YEAR(Y69)&gt;2016,"",T69+1)</f>
      </c>
      <c r="U70" s="63">
        <f>IF(T70="","",VLOOKUP(T69,V3:Y15,2,1))</f>
      </c>
      <c r="V70" s="63">
        <f>IF(T70="","",VLOOKUP(T70,V3:Y15,3,1))</f>
      </c>
      <c r="W70" s="63">
        <f>IF(T70="","",VLOOKUP(T70,V3:Y15,4,1))</f>
      </c>
      <c r="X70" s="157">
        <f>IF(T70="","",V43)</f>
      </c>
      <c r="Y70" s="158">
        <f>IF(T70="","",X70+(W70*365))</f>
      </c>
      <c r="Z70" s="159">
        <f>IF(T70="","",IF(YEAR(Y70&gt;2016),12-Z69,-Z69+IF(DAY(Y70)=1,-1+MONTH(Y70),MONTH(Y70))))</f>
      </c>
    </row>
    <row r="71" spans="2:11" ht="12">
      <c r="B71" s="71"/>
      <c r="C71" s="71"/>
      <c r="D71" s="71"/>
      <c r="E71" s="71"/>
      <c r="F71" s="93"/>
      <c r="G71" s="93"/>
      <c r="H71" s="71"/>
      <c r="J71" s="143"/>
      <c r="K71" s="143"/>
    </row>
    <row r="73" spans="2:36" ht="13.5" customHeight="1">
      <c r="B73" s="488" t="s">
        <v>87</v>
      </c>
      <c r="C73" s="488"/>
      <c r="D73" s="488"/>
      <c r="E73" s="488"/>
      <c r="F73" s="488"/>
      <c r="G73" s="488"/>
      <c r="H73" s="488"/>
      <c r="I73" s="488"/>
      <c r="J73" s="113"/>
      <c r="K73" s="113"/>
      <c r="L73" s="113"/>
      <c r="M73" s="113"/>
      <c r="N73" s="113"/>
      <c r="O73" s="113"/>
      <c r="P73" s="113"/>
      <c r="Q73" s="113"/>
      <c r="R73" s="113"/>
      <c r="T73" s="489" t="s">
        <v>87</v>
      </c>
      <c r="U73" s="489"/>
      <c r="V73" s="489"/>
      <c r="W73" s="489"/>
      <c r="X73" s="489"/>
      <c r="Y73" s="489"/>
      <c r="Z73" s="489"/>
      <c r="AA73" s="489"/>
      <c r="AB73" s="489"/>
      <c r="AC73" s="113"/>
      <c r="AD73" s="113"/>
      <c r="AE73" s="113"/>
      <c r="AF73" s="113"/>
      <c r="AG73" s="113"/>
      <c r="AH73" s="113"/>
      <c r="AI73" s="113"/>
      <c r="AJ73" s="113"/>
    </row>
    <row r="74" spans="2:36" ht="12.75" customHeight="1">
      <c r="B74" s="160" t="s">
        <v>82</v>
      </c>
      <c r="C74" s="151" t="s">
        <v>83</v>
      </c>
      <c r="D74" s="151" t="s">
        <v>84</v>
      </c>
      <c r="E74" s="151" t="s">
        <v>85</v>
      </c>
      <c r="F74" s="492" t="s">
        <v>88</v>
      </c>
      <c r="G74" s="492"/>
      <c r="H74" s="492"/>
      <c r="I74" s="492"/>
      <c r="L74" s="87"/>
      <c r="M74" s="70"/>
      <c r="N74" s="87"/>
      <c r="O74" s="70"/>
      <c r="P74" s="87"/>
      <c r="Q74" s="70"/>
      <c r="R74" s="87"/>
      <c r="T74" s="150" t="s">
        <v>82</v>
      </c>
      <c r="U74" s="151" t="s">
        <v>83</v>
      </c>
      <c r="V74" s="151" t="s">
        <v>84</v>
      </c>
      <c r="W74" s="151" t="s">
        <v>85</v>
      </c>
      <c r="X74" s="493" t="s">
        <v>88</v>
      </c>
      <c r="Y74" s="493"/>
      <c r="Z74" s="493"/>
      <c r="AA74" s="493"/>
      <c r="AB74" s="95"/>
      <c r="AD74" s="87"/>
      <c r="AE74" s="70"/>
      <c r="AF74" s="87"/>
      <c r="AG74" s="70"/>
      <c r="AH74" s="87"/>
      <c r="AI74" s="70"/>
      <c r="AJ74" s="87"/>
    </row>
    <row r="75" spans="2:32" ht="12">
      <c r="B75" s="161">
        <f>'reclas PPCR C au 01_01_2017'!B63</f>
        <v>8</v>
      </c>
      <c r="C75" s="53">
        <f>IF(B75&lt;10,VLOOKUP(B75,$H$20:$K$29,4,1),"")</f>
        <v>3</v>
      </c>
      <c r="D75" s="154">
        <f>'reclas PPCR C au 01_01_2017'!B50</f>
        <v>42736</v>
      </c>
      <c r="E75" s="154">
        <f>-1+'reclas PPCR C au 01_01_2017'!D68</f>
        <v>42960</v>
      </c>
      <c r="F75" s="53">
        <f>YEAR(D75)</f>
        <v>2017</v>
      </c>
      <c r="G75" s="53">
        <f aca="true" t="shared" si="0" ref="G75:I80">IF($E75="","",IF(YEAR($E75)&gt;F75,F75+1,""))</f>
      </c>
      <c r="H75" s="53">
        <f t="shared" si="0"/>
      </c>
      <c r="I75" s="56">
        <f t="shared" si="0"/>
      </c>
      <c r="J75" s="71"/>
      <c r="K75" s="71"/>
      <c r="L75" s="71"/>
      <c r="M75" s="71"/>
      <c r="N75" s="71"/>
      <c r="T75" s="52">
        <f>T56</f>
        <v>9</v>
      </c>
      <c r="U75" s="53">
        <f>IF(T75&lt;13,VLOOKUP(T75,V$20:Y$33,4,1),"")</f>
        <v>3</v>
      </c>
      <c r="V75" s="154">
        <v>42736</v>
      </c>
      <c r="W75" s="154">
        <f>'reclas PPCR B au 01_01_2017'!D51</f>
        <v>42766</v>
      </c>
      <c r="X75" s="53">
        <f>YEAR(V75)</f>
        <v>2017</v>
      </c>
      <c r="Y75" s="53">
        <f>IF($W75="","",IF(YEAR($W75)&gt;X75,X75+1,""))</f>
      </c>
      <c r="Z75" s="53">
        <f>IF($W75="","",IF(YEAR($W75)&gt;Y75,Y75+1,""))</f>
      </c>
      <c r="AA75" s="53">
        <f>IF($W75="","",IF(YEAR($W75)&gt;Z75,Z75+1,""))</f>
      </c>
      <c r="AB75" s="56">
        <f>IF($W75="","",IF(YEAR($W75)&gt;AA75,AA75+1,""))</f>
      </c>
      <c r="AC75" s="71">
        <f aca="true" t="shared" si="1" ref="AC75:AC84">IF($W75="","",IF(YEAR($W75)&gt;AB75,AB75+1,""))</f>
      </c>
      <c r="AD75" s="71">
        <f>IF($W75="","",IF(YEAR($W75)&gt;AC75,AC75+1,""))</f>
      </c>
      <c r="AE75" s="71"/>
      <c r="AF75" s="71"/>
    </row>
    <row r="76" spans="2:32" ht="12">
      <c r="B76" s="161">
        <f aca="true" t="shared" si="2" ref="B76:B82">IF(B75="","",IF(B75=10,"",B75+1))</f>
        <v>9</v>
      </c>
      <c r="C76" s="53">
        <f>IF(B76="","",IF(B76=10,"",VLOOKUP(B76,$H$20:$K$29,4,1)))</f>
        <v>3</v>
      </c>
      <c r="D76" s="154">
        <f>IF(B76="","",IF(B75=10,"",1+E75))</f>
        <v>42961</v>
      </c>
      <c r="E76" s="154">
        <f aca="true" t="shared" si="3" ref="E76:E82">IF(B75="","",IF(B75=10,"",IF(B75=9,"",(C76*365)+D76)))</f>
        <v>44056</v>
      </c>
      <c r="F76" s="53">
        <f>IF(B75="","",IF(B75=10,"",(YEAR(D76))))</f>
        <v>2017</v>
      </c>
      <c r="G76" s="53">
        <f t="shared" si="0"/>
        <v>2018</v>
      </c>
      <c r="H76" s="53">
        <f t="shared" si="0"/>
        <v>2019</v>
      </c>
      <c r="I76" s="56">
        <f t="shared" si="0"/>
        <v>2020</v>
      </c>
      <c r="J76" s="71"/>
      <c r="K76" s="71"/>
      <c r="L76" s="71"/>
      <c r="M76" s="71"/>
      <c r="N76" s="71"/>
      <c r="T76" s="52">
        <f aca="true" t="shared" si="4" ref="T76:T84">IF(T75="","",IF(T75=13,"",T75+1))</f>
        <v>10</v>
      </c>
      <c r="U76" s="53">
        <f>IF(T76="","",IF(T76=13,"",VLOOKUP(T76,$V$20:$Y$33,4,1)))</f>
        <v>3</v>
      </c>
      <c r="V76" s="154">
        <f aca="true" t="shared" si="5" ref="V76:V84">IF(T75="","",IF(T75=13,"",1+W75))</f>
        <v>42767</v>
      </c>
      <c r="W76" s="154">
        <f aca="true" t="shared" si="6" ref="W76:W84">IF(T75="","",IF(T75=13,"",IF(T75=12,"",(U76*365)+V76)))</f>
        <v>43862</v>
      </c>
      <c r="X76" s="53">
        <f>IF(T75="","",IF(T75=13,"",(YEAR(V76))))</f>
        <v>2017</v>
      </c>
      <c r="Y76" s="53">
        <f aca="true" t="shared" si="7" ref="Y76:Y84">IF(T75="","",IF(T75=13,"",IF($W76="","",IF(YEAR($W76)&gt;X76,X76+1,""))))</f>
        <v>2018</v>
      </c>
      <c r="Z76" s="53">
        <f aca="true" t="shared" si="8" ref="Z76:Z84">IF(T75="","",IF(T75=13,"",IF($W76="","",IF(YEAR($W76)&gt;Y76,Y76+1,""))))</f>
        <v>2019</v>
      </c>
      <c r="AA76" s="53">
        <f aca="true" t="shared" si="9" ref="AA76:AA84">IF(T75="","",IF(T75=13,"",IF($W76="","",IF(YEAR($W76)&gt;Z76,Z76+1,""))))</f>
        <v>2020</v>
      </c>
      <c r="AB76" s="56">
        <f aca="true" t="shared" si="10" ref="AB76:AB84">IF(T75="","",IF(T75=13,"",IF($W76="","",IF(YEAR($W76)&gt;AA76,AA76+1,""))))</f>
      </c>
      <c r="AC76" s="71"/>
      <c r="AD76" s="71"/>
      <c r="AE76" s="71"/>
      <c r="AF76" s="71"/>
    </row>
    <row r="77" spans="2:32" ht="12">
      <c r="B77" s="161">
        <f t="shared" si="2"/>
        <v>10</v>
      </c>
      <c r="C77" s="53">
        <f aca="true" t="shared" si="11" ref="C77:C82">IF(B77="","",IF(B77=10,"",VLOOKUP(B77,$H$20:$K$29,4,1)))</f>
      </c>
      <c r="D77" s="154">
        <f aca="true" t="shared" si="12" ref="D77:D82">IF(B76="","",IF(B76=10,"",1+E76))</f>
        <v>44057</v>
      </c>
      <c r="E77" s="154">
        <f t="shared" si="3"/>
      </c>
      <c r="F77" s="53">
        <f aca="true" t="shared" si="13" ref="F77:F82">IF(B76="","",IF(B76=10,"",(YEAR(D77))))</f>
        <v>2020</v>
      </c>
      <c r="G77" s="53">
        <f t="shared" si="0"/>
      </c>
      <c r="H77" s="53">
        <f t="shared" si="0"/>
      </c>
      <c r="I77" s="56">
        <f t="shared" si="0"/>
      </c>
      <c r="J77" s="71"/>
      <c r="K77" s="71"/>
      <c r="L77" s="71"/>
      <c r="M77" s="71"/>
      <c r="N77" s="71"/>
      <c r="T77" s="52">
        <f t="shared" si="4"/>
        <v>11</v>
      </c>
      <c r="U77" s="53">
        <f aca="true" t="shared" si="14" ref="U77:U84">IF(T77="","",IF(T77=13,"",VLOOKUP(T77,$V$20:$Y$33,4,1)))</f>
        <v>3</v>
      </c>
      <c r="V77" s="154">
        <f t="shared" si="5"/>
        <v>43863</v>
      </c>
      <c r="W77" s="154">
        <f t="shared" si="6"/>
        <v>44958</v>
      </c>
      <c r="X77" s="53">
        <f aca="true" t="shared" si="15" ref="X77:X84">IF(T76="","",IF(T76=13,"",(YEAR(V77))))</f>
        <v>2020</v>
      </c>
      <c r="Y77" s="53">
        <f t="shared" si="7"/>
        <v>2021</v>
      </c>
      <c r="Z77" s="53">
        <f t="shared" si="8"/>
        <v>2022</v>
      </c>
      <c r="AA77" s="53">
        <f t="shared" si="9"/>
        <v>2023</v>
      </c>
      <c r="AB77" s="56">
        <f t="shared" si="10"/>
      </c>
      <c r="AC77" s="71"/>
      <c r="AD77" s="71"/>
      <c r="AE77" s="71"/>
      <c r="AF77" s="71"/>
    </row>
    <row r="78" spans="2:32" ht="12">
      <c r="B78" s="161">
        <f t="shared" si="2"/>
      </c>
      <c r="C78" s="53">
        <f t="shared" si="11"/>
      </c>
      <c r="D78" s="154">
        <f t="shared" si="12"/>
      </c>
      <c r="E78" s="154">
        <f t="shared" si="3"/>
      </c>
      <c r="F78" s="53">
        <f t="shared" si="13"/>
      </c>
      <c r="G78" s="53">
        <f t="shared" si="0"/>
      </c>
      <c r="H78" s="53">
        <f t="shared" si="0"/>
      </c>
      <c r="I78" s="56">
        <f t="shared" si="0"/>
      </c>
      <c r="J78" s="71"/>
      <c r="K78" s="71"/>
      <c r="L78" s="71"/>
      <c r="M78" s="71"/>
      <c r="N78" s="71"/>
      <c r="T78" s="52">
        <f t="shared" si="4"/>
        <v>12</v>
      </c>
      <c r="U78" s="53">
        <f t="shared" si="14"/>
        <v>4</v>
      </c>
      <c r="V78" s="154">
        <f t="shared" si="5"/>
        <v>44959</v>
      </c>
      <c r="W78" s="154">
        <f t="shared" si="6"/>
        <v>46419</v>
      </c>
      <c r="X78" s="53">
        <f t="shared" si="15"/>
        <v>2023</v>
      </c>
      <c r="Y78" s="53">
        <f t="shared" si="7"/>
        <v>2024</v>
      </c>
      <c r="Z78" s="53">
        <f t="shared" si="8"/>
        <v>2025</v>
      </c>
      <c r="AA78" s="53">
        <f t="shared" si="9"/>
        <v>2026</v>
      </c>
      <c r="AB78" s="56">
        <f t="shared" si="10"/>
        <v>2027</v>
      </c>
      <c r="AC78" s="71"/>
      <c r="AD78" s="71"/>
      <c r="AE78" s="71"/>
      <c r="AF78" s="71"/>
    </row>
    <row r="79" spans="2:32" ht="12">
      <c r="B79" s="161">
        <f t="shared" si="2"/>
      </c>
      <c r="C79" s="53">
        <f t="shared" si="11"/>
      </c>
      <c r="D79" s="154">
        <f t="shared" si="12"/>
      </c>
      <c r="E79" s="154">
        <f t="shared" si="3"/>
      </c>
      <c r="F79" s="53">
        <f t="shared" si="13"/>
      </c>
      <c r="G79" s="53">
        <f t="shared" si="0"/>
      </c>
      <c r="H79" s="53">
        <f t="shared" si="0"/>
      </c>
      <c r="I79" s="56">
        <f t="shared" si="0"/>
      </c>
      <c r="J79" s="71"/>
      <c r="K79" s="71"/>
      <c r="L79" s="71"/>
      <c r="M79" s="71"/>
      <c r="N79" s="71"/>
      <c r="T79" s="52">
        <f t="shared" si="4"/>
        <v>13</v>
      </c>
      <c r="U79" s="53">
        <f t="shared" si="14"/>
      </c>
      <c r="V79" s="154">
        <f t="shared" si="5"/>
        <v>46420</v>
      </c>
      <c r="W79" s="154">
        <f t="shared" si="6"/>
      </c>
      <c r="X79" s="53">
        <f t="shared" si="15"/>
        <v>2027</v>
      </c>
      <c r="Y79" s="53">
        <f t="shared" si="7"/>
      </c>
      <c r="Z79" s="53">
        <f t="shared" si="8"/>
      </c>
      <c r="AA79" s="53">
        <f t="shared" si="9"/>
      </c>
      <c r="AB79" s="56">
        <f t="shared" si="10"/>
      </c>
      <c r="AC79" s="71">
        <f t="shared" si="1"/>
      </c>
      <c r="AD79" s="71"/>
      <c r="AE79" s="71">
        <f aca="true" t="shared" si="16" ref="AE79:AE84">IF($E79="","",IF(YEAR($E79)&gt;AD79,AD79+1,""))</f>
      </c>
      <c r="AF79" s="71"/>
    </row>
    <row r="80" spans="2:32" ht="12">
      <c r="B80" s="161">
        <f t="shared" si="2"/>
      </c>
      <c r="C80" s="53">
        <f t="shared" si="11"/>
      </c>
      <c r="D80" s="154">
        <f t="shared" si="12"/>
      </c>
      <c r="E80" s="154">
        <f t="shared" si="3"/>
      </c>
      <c r="F80" s="53">
        <f t="shared" si="13"/>
      </c>
      <c r="G80" s="53">
        <f t="shared" si="0"/>
      </c>
      <c r="H80" s="53">
        <f t="shared" si="0"/>
      </c>
      <c r="I80" s="56">
        <f t="shared" si="0"/>
      </c>
      <c r="J80" s="71"/>
      <c r="K80" s="71"/>
      <c r="L80" s="71"/>
      <c r="M80" s="71"/>
      <c r="N80" s="71"/>
      <c r="T80" s="52">
        <f t="shared" si="4"/>
      </c>
      <c r="U80" s="53">
        <f t="shared" si="14"/>
      </c>
      <c r="V80" s="154">
        <f t="shared" si="5"/>
      </c>
      <c r="W80" s="154">
        <f t="shared" si="6"/>
      </c>
      <c r="X80" s="53">
        <f t="shared" si="15"/>
      </c>
      <c r="Y80" s="53">
        <f t="shared" si="7"/>
      </c>
      <c r="Z80" s="53">
        <f t="shared" si="8"/>
      </c>
      <c r="AA80" s="53">
        <f t="shared" si="9"/>
      </c>
      <c r="AB80" s="56">
        <f t="shared" si="10"/>
      </c>
      <c r="AC80" s="71">
        <f t="shared" si="1"/>
      </c>
      <c r="AD80" s="71">
        <f>IF($W80="","",IF(YEAR($W80)&gt;AC80,AC80+1,""))</f>
      </c>
      <c r="AE80" s="71">
        <f t="shared" si="16"/>
      </c>
      <c r="AF80" s="71"/>
    </row>
    <row r="81" spans="2:32" ht="12">
      <c r="B81" s="161">
        <f t="shared" si="2"/>
      </c>
      <c r="C81" s="53">
        <f t="shared" si="11"/>
      </c>
      <c r="D81" s="154">
        <f t="shared" si="12"/>
      </c>
      <c r="E81" s="154">
        <f t="shared" si="3"/>
      </c>
      <c r="F81" s="53">
        <f t="shared" si="13"/>
      </c>
      <c r="G81" s="53">
        <f aca="true" t="shared" si="17" ref="G81:I82">IF($E81="","",IF(YEAR($E81)&gt;F81,F81+1,""))</f>
      </c>
      <c r="H81" s="53">
        <f t="shared" si="17"/>
      </c>
      <c r="I81" s="56">
        <f t="shared" si="17"/>
      </c>
      <c r="J81" s="71"/>
      <c r="K81" s="71"/>
      <c r="L81" s="71"/>
      <c r="M81" s="71"/>
      <c r="N81" s="71"/>
      <c r="T81" s="52">
        <f t="shared" si="4"/>
      </c>
      <c r="U81" s="53">
        <f t="shared" si="14"/>
      </c>
      <c r="V81" s="154">
        <f t="shared" si="5"/>
      </c>
      <c r="W81" s="154">
        <f t="shared" si="6"/>
      </c>
      <c r="X81" s="53">
        <f t="shared" si="15"/>
      </c>
      <c r="Y81" s="53">
        <f t="shared" si="7"/>
      </c>
      <c r="Z81" s="53">
        <f t="shared" si="8"/>
      </c>
      <c r="AA81" s="53">
        <f t="shared" si="9"/>
      </c>
      <c r="AB81" s="56">
        <f t="shared" si="10"/>
      </c>
      <c r="AC81" s="71">
        <f t="shared" si="1"/>
      </c>
      <c r="AD81" s="71">
        <f>IF($W81="","",IF(YEAR($W81)&gt;AC81,AC81+1,""))</f>
      </c>
      <c r="AE81" s="71">
        <f t="shared" si="16"/>
      </c>
      <c r="AF81" s="71"/>
    </row>
    <row r="82" spans="2:32" ht="12">
      <c r="B82" s="161">
        <f t="shared" si="2"/>
      </c>
      <c r="C82" s="53">
        <f t="shared" si="11"/>
      </c>
      <c r="D82" s="154">
        <f t="shared" si="12"/>
      </c>
      <c r="E82" s="154">
        <f t="shared" si="3"/>
      </c>
      <c r="F82" s="53">
        <f t="shared" si="13"/>
      </c>
      <c r="G82" s="53">
        <f t="shared" si="17"/>
      </c>
      <c r="H82" s="53">
        <f t="shared" si="17"/>
      </c>
      <c r="I82" s="56">
        <f t="shared" si="17"/>
      </c>
      <c r="J82" s="71"/>
      <c r="K82" s="71"/>
      <c r="L82" s="71"/>
      <c r="M82" s="71"/>
      <c r="N82" s="71"/>
      <c r="T82" s="52">
        <f t="shared" si="4"/>
      </c>
      <c r="U82" s="53">
        <f t="shared" si="14"/>
      </c>
      <c r="V82" s="154">
        <f t="shared" si="5"/>
      </c>
      <c r="W82" s="154">
        <f t="shared" si="6"/>
      </c>
      <c r="X82" s="53">
        <f t="shared" si="15"/>
      </c>
      <c r="Y82" s="53">
        <f t="shared" si="7"/>
      </c>
      <c r="Z82" s="53">
        <f t="shared" si="8"/>
      </c>
      <c r="AA82" s="53">
        <f t="shared" si="9"/>
      </c>
      <c r="AB82" s="56">
        <f t="shared" si="10"/>
      </c>
      <c r="AC82" s="71">
        <f t="shared" si="1"/>
      </c>
      <c r="AD82" s="71">
        <f>IF($W82="","",IF(YEAR($W82)&gt;AC82,AC82+1,""))</f>
      </c>
      <c r="AE82" s="71">
        <f t="shared" si="16"/>
      </c>
      <c r="AF82" s="71"/>
    </row>
    <row r="83" spans="2:32" ht="12">
      <c r="B83" s="71"/>
      <c r="C83" s="71"/>
      <c r="D83" s="93"/>
      <c r="E83" s="93"/>
      <c r="F83" s="71"/>
      <c r="G83" s="71"/>
      <c r="H83" s="71"/>
      <c r="I83" s="71"/>
      <c r="J83" s="71"/>
      <c r="K83" s="71"/>
      <c r="L83" s="71"/>
      <c r="M83" s="71"/>
      <c r="N83" s="71"/>
      <c r="T83" s="52">
        <f t="shared" si="4"/>
      </c>
      <c r="U83" s="53">
        <f t="shared" si="14"/>
      </c>
      <c r="V83" s="154">
        <f t="shared" si="5"/>
      </c>
      <c r="W83" s="154">
        <f t="shared" si="6"/>
      </c>
      <c r="X83" s="53">
        <f t="shared" si="15"/>
      </c>
      <c r="Y83" s="53">
        <f t="shared" si="7"/>
      </c>
      <c r="Z83" s="53">
        <f t="shared" si="8"/>
      </c>
      <c r="AA83" s="53">
        <f t="shared" si="9"/>
      </c>
      <c r="AB83" s="56">
        <f t="shared" si="10"/>
      </c>
      <c r="AC83" s="71">
        <f t="shared" si="1"/>
      </c>
      <c r="AD83" s="71">
        <f>IF($W83="","",IF(YEAR($W83)&gt;AC83,AC83+1,""))</f>
      </c>
      <c r="AE83" s="71">
        <f t="shared" si="16"/>
      </c>
      <c r="AF83" s="71"/>
    </row>
    <row r="84" spans="2:32" ht="12">
      <c r="B84" s="71"/>
      <c r="C84" s="71"/>
      <c r="D84" s="93"/>
      <c r="E84" s="93"/>
      <c r="F84" s="71"/>
      <c r="G84" s="71"/>
      <c r="H84" s="71"/>
      <c r="I84" s="71"/>
      <c r="J84" s="71"/>
      <c r="K84" s="71"/>
      <c r="L84" s="71"/>
      <c r="M84" s="71"/>
      <c r="N84" s="71"/>
      <c r="T84" s="52">
        <f t="shared" si="4"/>
      </c>
      <c r="U84" s="53">
        <f t="shared" si="14"/>
      </c>
      <c r="V84" s="154">
        <f t="shared" si="5"/>
      </c>
      <c r="W84" s="154">
        <f t="shared" si="6"/>
      </c>
      <c r="X84" s="53">
        <f t="shared" si="15"/>
      </c>
      <c r="Y84" s="53">
        <f t="shared" si="7"/>
      </c>
      <c r="Z84" s="53">
        <f t="shared" si="8"/>
      </c>
      <c r="AA84" s="53">
        <f t="shared" si="9"/>
      </c>
      <c r="AB84" s="56">
        <f t="shared" si="10"/>
      </c>
      <c r="AC84" s="71">
        <f t="shared" si="1"/>
      </c>
      <c r="AD84" s="71">
        <f>IF($W84="","",IF(YEAR($W84)&gt;AC84,AC84+1,""))</f>
      </c>
      <c r="AE84" s="71">
        <f t="shared" si="16"/>
      </c>
      <c r="AF84" s="71"/>
    </row>
    <row r="85" spans="2:32" ht="12">
      <c r="B85" s="71"/>
      <c r="C85" s="71"/>
      <c r="D85" s="93"/>
      <c r="E85" s="93"/>
      <c r="F85" s="71"/>
      <c r="G85" s="71"/>
      <c r="H85" s="71"/>
      <c r="I85" s="71"/>
      <c r="J85" s="71"/>
      <c r="K85" s="71"/>
      <c r="L85" s="71"/>
      <c r="M85" s="71"/>
      <c r="N85" s="71"/>
      <c r="T85" s="71"/>
      <c r="U85" s="71"/>
      <c r="V85" s="93"/>
      <c r="W85" s="93"/>
      <c r="X85" s="71"/>
      <c r="Y85" s="71"/>
      <c r="Z85" s="71"/>
      <c r="AA85" s="71"/>
      <c r="AB85" s="71"/>
      <c r="AC85" s="71"/>
      <c r="AD85" s="71"/>
      <c r="AE85" s="71"/>
      <c r="AF85" s="71"/>
    </row>
    <row r="86" spans="2:32" ht="12">
      <c r="B86" s="71"/>
      <c r="C86" s="71"/>
      <c r="D86" s="93"/>
      <c r="E86" s="93"/>
      <c r="F86" s="71"/>
      <c r="G86" s="71"/>
      <c r="H86" s="71"/>
      <c r="I86" s="71"/>
      <c r="J86" s="71"/>
      <c r="K86" s="71"/>
      <c r="L86" s="71"/>
      <c r="M86" s="71"/>
      <c r="N86" s="71"/>
      <c r="T86" s="71"/>
      <c r="U86" s="71"/>
      <c r="V86" s="93"/>
      <c r="W86" s="93"/>
      <c r="X86" s="71"/>
      <c r="Y86" s="71"/>
      <c r="Z86" s="71"/>
      <c r="AA86" s="71"/>
      <c r="AB86" s="71"/>
      <c r="AC86" s="71"/>
      <c r="AD86" s="71"/>
      <c r="AE86" s="71"/>
      <c r="AF86" s="71"/>
    </row>
    <row r="87" spans="6:25" ht="12">
      <c r="F87" s="143"/>
      <c r="G87" s="143"/>
      <c r="X87" s="143"/>
      <c r="Y87" s="143"/>
    </row>
    <row r="88" spans="3:36" ht="13.5" customHeight="1">
      <c r="C88" s="162">
        <v>1</v>
      </c>
      <c r="D88" s="162">
        <f aca="true" t="shared" si="18" ref="D88:N88">C88+1</f>
        <v>2</v>
      </c>
      <c r="E88" s="162">
        <f t="shared" si="18"/>
        <v>3</v>
      </c>
      <c r="F88" s="162">
        <f t="shared" si="18"/>
        <v>4</v>
      </c>
      <c r="G88" s="162">
        <f t="shared" si="18"/>
        <v>5</v>
      </c>
      <c r="H88" s="162">
        <f t="shared" si="18"/>
        <v>6</v>
      </c>
      <c r="I88" s="162">
        <f t="shared" si="18"/>
        <v>7</v>
      </c>
      <c r="J88" s="162">
        <f t="shared" si="18"/>
        <v>8</v>
      </c>
      <c r="K88" s="162">
        <f t="shared" si="18"/>
        <v>9</v>
      </c>
      <c r="L88" s="162">
        <f t="shared" si="18"/>
        <v>10</v>
      </c>
      <c r="M88" s="162">
        <f t="shared" si="18"/>
        <v>11</v>
      </c>
      <c r="N88" s="162">
        <f t="shared" si="18"/>
        <v>12</v>
      </c>
      <c r="P88" s="491" t="s">
        <v>89</v>
      </c>
      <c r="Q88" s="491"/>
      <c r="R88" s="491"/>
      <c r="U88" s="162">
        <v>1</v>
      </c>
      <c r="V88" s="162">
        <f aca="true" t="shared" si="19" ref="V88:AF88">U88+1</f>
        <v>2</v>
      </c>
      <c r="W88" s="162">
        <f t="shared" si="19"/>
        <v>3</v>
      </c>
      <c r="X88" s="162">
        <f t="shared" si="19"/>
        <v>4</v>
      </c>
      <c r="Y88" s="162">
        <f t="shared" si="19"/>
        <v>5</v>
      </c>
      <c r="Z88" s="162">
        <f t="shared" si="19"/>
        <v>6</v>
      </c>
      <c r="AA88" s="162">
        <f t="shared" si="19"/>
        <v>7</v>
      </c>
      <c r="AB88" s="162">
        <f t="shared" si="19"/>
        <v>8</v>
      </c>
      <c r="AC88" s="162">
        <f t="shared" si="19"/>
        <v>9</v>
      </c>
      <c r="AD88" s="162">
        <f t="shared" si="19"/>
        <v>10</v>
      </c>
      <c r="AE88" s="162">
        <f t="shared" si="19"/>
        <v>11</v>
      </c>
      <c r="AF88" s="162">
        <f t="shared" si="19"/>
        <v>12</v>
      </c>
      <c r="AH88" s="491" t="s">
        <v>89</v>
      </c>
      <c r="AI88" s="491"/>
      <c r="AJ88" s="491"/>
    </row>
    <row r="89" spans="2:36" ht="13.5" customHeight="1">
      <c r="B89" s="163" t="s">
        <v>90</v>
      </c>
      <c r="C89" s="164" t="s">
        <v>91</v>
      </c>
      <c r="D89" s="164" t="s">
        <v>92</v>
      </c>
      <c r="E89" s="164" t="s">
        <v>93</v>
      </c>
      <c r="F89" s="164" t="s">
        <v>94</v>
      </c>
      <c r="G89" s="164" t="s">
        <v>95</v>
      </c>
      <c r="H89" s="164" t="s">
        <v>96</v>
      </c>
      <c r="I89" s="164" t="s">
        <v>97</v>
      </c>
      <c r="J89" s="164" t="s">
        <v>98</v>
      </c>
      <c r="K89" s="164" t="s">
        <v>99</v>
      </c>
      <c r="L89" s="164" t="s">
        <v>100</v>
      </c>
      <c r="M89" s="164" t="s">
        <v>101</v>
      </c>
      <c r="N89" s="165" t="s">
        <v>102</v>
      </c>
      <c r="P89" s="491" t="s">
        <v>103</v>
      </c>
      <c r="Q89" s="491"/>
      <c r="R89" s="491"/>
      <c r="T89" s="166" t="s">
        <v>90</v>
      </c>
      <c r="U89" s="167" t="s">
        <v>91</v>
      </c>
      <c r="V89" s="167" t="s">
        <v>92</v>
      </c>
      <c r="W89" s="167" t="s">
        <v>93</v>
      </c>
      <c r="X89" s="167" t="s">
        <v>94</v>
      </c>
      <c r="Y89" s="167" t="s">
        <v>95</v>
      </c>
      <c r="Z89" s="167" t="s">
        <v>96</v>
      </c>
      <c r="AA89" s="167" t="s">
        <v>97</v>
      </c>
      <c r="AB89" s="167" t="s">
        <v>98</v>
      </c>
      <c r="AC89" s="167" t="s">
        <v>99</v>
      </c>
      <c r="AD89" s="167" t="s">
        <v>100</v>
      </c>
      <c r="AE89" s="167" t="s">
        <v>101</v>
      </c>
      <c r="AF89" s="168" t="s">
        <v>102</v>
      </c>
      <c r="AH89" s="491" t="s">
        <v>103</v>
      </c>
      <c r="AI89" s="491"/>
      <c r="AJ89" s="491"/>
    </row>
    <row r="90" spans="2:36" ht="12">
      <c r="B90" s="169">
        <v>2016</v>
      </c>
      <c r="C90" s="78">
        <f aca="true" t="shared" si="20" ref="C90:N90">IF(YEAR($G69)=2016,IF(YEAR($G69)&gt;2016,$D70,IF(MONTH($G69)&lt;C88,$D70,$D69)),$D69)</f>
        <v>422</v>
      </c>
      <c r="D90" s="78">
        <f t="shared" si="20"/>
        <v>422</v>
      </c>
      <c r="E90" s="78">
        <f t="shared" si="20"/>
        <v>422</v>
      </c>
      <c r="F90" s="78">
        <f t="shared" si="20"/>
        <v>422</v>
      </c>
      <c r="G90" s="78">
        <f t="shared" si="20"/>
        <v>422</v>
      </c>
      <c r="H90" s="78">
        <f t="shared" si="20"/>
        <v>422</v>
      </c>
      <c r="I90" s="78">
        <f t="shared" si="20"/>
        <v>422</v>
      </c>
      <c r="J90" s="78">
        <f t="shared" si="20"/>
        <v>422</v>
      </c>
      <c r="K90" s="78">
        <f t="shared" si="20"/>
        <v>422</v>
      </c>
      <c r="L90" s="78">
        <f t="shared" si="20"/>
        <v>422</v>
      </c>
      <c r="M90" s="78">
        <f t="shared" si="20"/>
        <v>422</v>
      </c>
      <c r="N90" s="78">
        <f t="shared" si="20"/>
        <v>422</v>
      </c>
      <c r="P90" s="53" t="s">
        <v>104</v>
      </c>
      <c r="Q90" s="170" t="s">
        <v>84</v>
      </c>
      <c r="R90" s="170" t="s">
        <v>85</v>
      </c>
      <c r="T90" s="169">
        <v>2016</v>
      </c>
      <c r="U90" s="224">
        <f>IF(YEAR($Y69)=2016,IF(MONTH($Y69)&lt;U88,$V70,$V69),$V69)</f>
        <v>428</v>
      </c>
      <c r="V90" s="224">
        <f aca="true" t="shared" si="21" ref="V90:AF90">IF(YEAR($Y69)=2016,IF(MONTH($Y69)&lt;V88,$V70,$V69),$V69)</f>
        <v>428</v>
      </c>
      <c r="W90" s="224">
        <f t="shared" si="21"/>
        <v>428</v>
      </c>
      <c r="X90" s="224">
        <f t="shared" si="21"/>
        <v>428</v>
      </c>
      <c r="Y90" s="224">
        <f t="shared" si="21"/>
        <v>428</v>
      </c>
      <c r="Z90" s="224">
        <f t="shared" si="21"/>
        <v>428</v>
      </c>
      <c r="AA90" s="224">
        <f t="shared" si="21"/>
        <v>428</v>
      </c>
      <c r="AB90" s="224">
        <f t="shared" si="21"/>
        <v>428</v>
      </c>
      <c r="AC90" s="224">
        <f t="shared" si="21"/>
        <v>428</v>
      </c>
      <c r="AD90" s="224">
        <f t="shared" si="21"/>
        <v>428</v>
      </c>
      <c r="AE90" s="224">
        <f t="shared" si="21"/>
        <v>428</v>
      </c>
      <c r="AF90" s="224">
        <f t="shared" si="21"/>
        <v>428</v>
      </c>
      <c r="AH90" s="53" t="s">
        <v>104</v>
      </c>
      <c r="AI90" s="170" t="s">
        <v>84</v>
      </c>
      <c r="AJ90" s="170" t="s">
        <v>85</v>
      </c>
    </row>
    <row r="91" spans="2:36" ht="12">
      <c r="B91" s="171">
        <f aca="true" t="shared" si="22" ref="B91:B119">1+B90</f>
        <v>2017</v>
      </c>
      <c r="C91" s="53">
        <f>VLOOKUP(IF(YEAR($E75)=$B91,IF(MONTH($E75)&gt;C88-1,$B75,$B75+1),IF(YEAR($E75)&lt;$B91,$B75+1,$B75)),$H$20:$J$29,3,1)</f>
        <v>430</v>
      </c>
      <c r="D91" s="53">
        <f aca="true" t="shared" si="23" ref="D91:N91">VLOOKUP(IF(YEAR($E75)=$B91,IF(MONTH($E75)&gt;D88-1,$B75,$B75+1),IF(YEAR($E75)&lt;$B91,$B75+1,$B75)),$H$20:$J$29,3,1)</f>
        <v>430</v>
      </c>
      <c r="E91" s="53">
        <f t="shared" si="23"/>
        <v>430</v>
      </c>
      <c r="F91" s="53">
        <f t="shared" si="23"/>
        <v>430</v>
      </c>
      <c r="G91" s="53">
        <f t="shared" si="23"/>
        <v>430</v>
      </c>
      <c r="H91" s="53">
        <f t="shared" si="23"/>
        <v>430</v>
      </c>
      <c r="I91" s="53">
        <f t="shared" si="23"/>
        <v>430</v>
      </c>
      <c r="J91" s="53">
        <f t="shared" si="23"/>
        <v>430</v>
      </c>
      <c r="K91" s="53">
        <f t="shared" si="23"/>
        <v>445</v>
      </c>
      <c r="L91" s="53">
        <f t="shared" si="23"/>
        <v>445</v>
      </c>
      <c r="M91" s="53">
        <f t="shared" si="23"/>
        <v>445</v>
      </c>
      <c r="N91" s="56">
        <f t="shared" si="23"/>
        <v>445</v>
      </c>
      <c r="P91" s="53">
        <f>IF(YEAR($E75)=$B91,IF(MONTH($E75)&gt;C$88-1,$B75,$B75+1),IF(YEAR($E75)&lt;$B91,$B75+1,$B75))</f>
        <v>8</v>
      </c>
      <c r="Q91" s="154">
        <f aca="true" t="shared" si="24" ref="Q91:Q119">VLOOKUP(P91,B$75:E$82,3,1)</f>
        <v>42736</v>
      </c>
      <c r="R91" s="154">
        <f aca="true" t="shared" si="25" ref="R91:R119">VLOOKUP(P91,B$75:E$82,4,2)</f>
        <v>42960</v>
      </c>
      <c r="T91" s="171">
        <f aca="true" t="shared" si="26" ref="T91:T119">1+T90</f>
        <v>2017</v>
      </c>
      <c r="U91" s="53">
        <f aca="true" t="shared" si="27" ref="U91:AF91">VLOOKUP(IF(YEAR($W75)=$T91,IF(MONTH($W75)&gt;U88-1,$T75,$T75+1),IF(YEAR($W75)&lt;$T91,$T75+1,$T75)),$V$20:$X$33,3,1)</f>
        <v>429</v>
      </c>
      <c r="V91" s="53">
        <f t="shared" si="27"/>
        <v>440</v>
      </c>
      <c r="W91" s="53">
        <f t="shared" si="27"/>
        <v>440</v>
      </c>
      <c r="X91" s="53">
        <f t="shared" si="27"/>
        <v>440</v>
      </c>
      <c r="Y91" s="53">
        <f t="shared" si="27"/>
        <v>440</v>
      </c>
      <c r="Z91" s="53">
        <f t="shared" si="27"/>
        <v>440</v>
      </c>
      <c r="AA91" s="53">
        <f t="shared" si="27"/>
        <v>440</v>
      </c>
      <c r="AB91" s="53">
        <f t="shared" si="27"/>
        <v>440</v>
      </c>
      <c r="AC91" s="53">
        <f t="shared" si="27"/>
        <v>440</v>
      </c>
      <c r="AD91" s="53">
        <f t="shared" si="27"/>
        <v>440</v>
      </c>
      <c r="AE91" s="53">
        <f t="shared" si="27"/>
        <v>440</v>
      </c>
      <c r="AF91" s="56">
        <f t="shared" si="27"/>
        <v>440</v>
      </c>
      <c r="AH91" s="53">
        <f>IF(YEAR($W75)=$T91,IF(MONTH($W75)&gt;U$88-1,$T75,$T75+1),IF(YEAR($W75)&lt;$T91,$T75+1,$T75))</f>
        <v>9</v>
      </c>
      <c r="AI91" s="154">
        <f aca="true" t="shared" si="28" ref="AI91:AI119">VLOOKUP(AH91,T$75:W$84,3,1)</f>
        <v>42736</v>
      </c>
      <c r="AJ91" s="154">
        <f aca="true" t="shared" si="29" ref="AJ91:AJ119">VLOOKUP(AH91,T$75:W$84,4,2)</f>
        <v>42766</v>
      </c>
    </row>
    <row r="92" spans="2:36" ht="12">
      <c r="B92" s="171">
        <f t="shared" si="22"/>
        <v>2018</v>
      </c>
      <c r="C92" s="53">
        <f aca="true" t="shared" si="30" ref="C92:N93">VLOOKUP(IF($R91="",$N91,IF(YEAR($R91)=$B92,IF(MONTH($R91)&gt;C$88-1,$P91,$P91+1),IF(YEAR($R91)&lt;$B92,$P91+1,$P91))),$M$3:$O$12,3,1)</f>
        <v>450</v>
      </c>
      <c r="D92" s="53">
        <f t="shared" si="30"/>
        <v>450</v>
      </c>
      <c r="E92" s="53">
        <f t="shared" si="30"/>
        <v>450</v>
      </c>
      <c r="F92" s="53">
        <f t="shared" si="30"/>
        <v>450</v>
      </c>
      <c r="G92" s="53">
        <f t="shared" si="30"/>
        <v>450</v>
      </c>
      <c r="H92" s="53">
        <f t="shared" si="30"/>
        <v>450</v>
      </c>
      <c r="I92" s="53">
        <f t="shared" si="30"/>
        <v>450</v>
      </c>
      <c r="J92" s="53">
        <f t="shared" si="30"/>
        <v>450</v>
      </c>
      <c r="K92" s="53">
        <f t="shared" si="30"/>
        <v>450</v>
      </c>
      <c r="L92" s="53">
        <f t="shared" si="30"/>
        <v>450</v>
      </c>
      <c r="M92" s="53">
        <f t="shared" si="30"/>
        <v>450</v>
      </c>
      <c r="N92" s="56">
        <f t="shared" si="30"/>
        <v>450</v>
      </c>
      <c r="P92" s="53">
        <f aca="true" t="shared" si="31" ref="P92:P119">IF($R91="",P91,IF(YEAR($R91)=$B92,IF(MONTH($R91)&gt;E$88-1,$P91,$P91+1),IF(YEAR($R91)&lt;$B92,$P91+1,$P91)))</f>
        <v>9</v>
      </c>
      <c r="Q92" s="154">
        <f t="shared" si="24"/>
        <v>42961</v>
      </c>
      <c r="R92" s="154">
        <f t="shared" si="25"/>
        <v>44056</v>
      </c>
      <c r="T92" s="171">
        <f t="shared" si="26"/>
        <v>2018</v>
      </c>
      <c r="U92" s="53">
        <f aca="true" t="shared" si="32" ref="U92:U110">VLOOKUP(IF($AJ91="",$AF91,IF(YEAR($AJ91)=$T92,IF(MONTH($AJ91)&gt;U$88-1,$AH91,$AH91+1),IF(YEAR($AJ91)&lt;$T92,$AH91+1,$AH91))),$AA$3:$AD$15,3,1)</f>
        <v>441</v>
      </c>
      <c r="V92" s="53">
        <f aca="true" t="shared" si="33" ref="V92:V110">VLOOKUP(IF($AJ91="",$AF91,IF(YEAR($AJ91)=$T92,IF(MONTH($AJ91)&gt;V$88-1,$AH91,$AH91+1),IF(YEAR($AJ91)&lt;$T92,$AH91+1,$AH91))),$AA$3:$AD$15,3,1)</f>
        <v>441</v>
      </c>
      <c r="W92" s="53">
        <f aca="true" t="shared" si="34" ref="W92:W110">VLOOKUP(IF($AJ91="",$AF91,IF(YEAR($AJ91)=$T92,IF(MONTH($AJ91)&gt;W$88-1,$AH91,$AH91+1),IF(YEAR($AJ91)&lt;$T92,$AH91+1,$AH91))),$AA$3:$AD$15,3,1)</f>
        <v>441</v>
      </c>
      <c r="X92" s="53">
        <f aca="true" t="shared" si="35" ref="X92:X110">VLOOKUP(IF($AJ91="",$AF91,IF(YEAR($AJ91)=$T92,IF(MONTH($AJ91)&gt;X$88-1,$AH91,$AH91+1),IF(YEAR($AJ91)&lt;$T92,$AH91+1,$AH91))),$AA$3:$AD$15,3,1)</f>
        <v>441</v>
      </c>
      <c r="Y92" s="53">
        <f aca="true" t="shared" si="36" ref="Y92:Y110">VLOOKUP(IF($AJ91="",$AF91,IF(YEAR($AJ91)=$T92,IF(MONTH($AJ91)&gt;Y$88-1,$AH91,$AH91+1),IF(YEAR($AJ91)&lt;$T92,$AH91+1,$AH91))),$AA$3:$AD$15,3,1)</f>
        <v>441</v>
      </c>
      <c r="Z92" s="53">
        <f aca="true" t="shared" si="37" ref="Z92:Z110">VLOOKUP(IF($AJ91="",$AF91,IF(YEAR($AJ91)=$T92,IF(MONTH($AJ91)&gt;Z$88-1,$AH91,$AH91+1),IF(YEAR($AJ91)&lt;$T92,$AH91+1,$AH91))),$AA$3:$AD$15,3,1)</f>
        <v>441</v>
      </c>
      <c r="AA92" s="53">
        <f aca="true" t="shared" si="38" ref="AA92:AA110">VLOOKUP(IF($AJ91="",$AF91,IF(YEAR($AJ91)=$T92,IF(MONTH($AJ91)&gt;AA$88-1,$AH91,$AH91+1),IF(YEAR($AJ91)&lt;$T92,$AH91+1,$AH91))),$AA$3:$AD$15,3,1)</f>
        <v>441</v>
      </c>
      <c r="AB92" s="53">
        <f aca="true" t="shared" si="39" ref="AB92:AB110">VLOOKUP(IF($AJ91="",$AF91,IF(YEAR($AJ91)=$T92,IF(MONTH($AJ91)&gt;AB$88-1,$AH91,$AH91+1),IF(YEAR($AJ91)&lt;$T92,$AH91+1,$AH91))),$AA$3:$AD$15,3,1)</f>
        <v>441</v>
      </c>
      <c r="AC92" s="53">
        <f aca="true" t="shared" si="40" ref="AC92:AC110">VLOOKUP(IF($AJ91="",$AF91,IF(YEAR($AJ91)=$T92,IF(MONTH($AJ91)&gt;AC$88-1,$AH91,$AH91+1),IF(YEAR($AJ91)&lt;$T92,$AH91+1,$AH91))),$AA$3:$AD$15,3,1)</f>
        <v>441</v>
      </c>
      <c r="AD92" s="53">
        <f aca="true" t="shared" si="41" ref="AD92:AD110">VLOOKUP(IF($AJ91="",$AF91,IF(YEAR($AJ91)=$T92,IF(MONTH($AJ91)&gt;AD$88-1,$AH91,$AH91+1),IF(YEAR($AJ91)&lt;$T92,$AH91+1,$AH91))),$AA$3:$AD$15,3,1)</f>
        <v>441</v>
      </c>
      <c r="AE92" s="53">
        <f aca="true" t="shared" si="42" ref="AE92:AE110">VLOOKUP(IF($AJ91="",$AF91,IF(YEAR($AJ91)=$T92,IF(MONTH($AJ91)&gt;AE$88-1,$AH91,$AH91+1),IF(YEAR($AJ91)&lt;$T92,$AH91+1,$AH91))),$AA$3:$AD$15,3,1)</f>
        <v>441</v>
      </c>
      <c r="AF92" s="56">
        <f aca="true" t="shared" si="43" ref="AF92:AF110">VLOOKUP(IF($AJ91="",$AF91,IF(YEAR($AJ91)=$T92,IF(MONTH($AJ91)&gt;AF$88-1,$AH91,$AH91+1),IF(YEAR($AJ91)&lt;$T92,$AH91+1,$AH91))),$AA$3:$AD$15,3,1)</f>
        <v>441</v>
      </c>
      <c r="AH92" s="53">
        <f aca="true" t="shared" si="44" ref="AH92:AH119">IF($AJ91="",AH91,IF(YEAR($AJ91)=$T92,IF(MONTH($AJ91)&gt;U$88-1,$AH91,$AH91+1),IF(YEAR($AJ91)&lt;$T92,$AH91+1,$AH91)))</f>
        <v>10</v>
      </c>
      <c r="AI92" s="154">
        <f t="shared" si="28"/>
        <v>42767</v>
      </c>
      <c r="AJ92" s="154">
        <f t="shared" si="29"/>
        <v>43862</v>
      </c>
    </row>
    <row r="93" spans="2:36" ht="12">
      <c r="B93" s="171">
        <f t="shared" si="22"/>
        <v>2019</v>
      </c>
      <c r="C93" s="53">
        <f t="shared" si="30"/>
        <v>450</v>
      </c>
      <c r="D93" s="53">
        <f t="shared" si="30"/>
        <v>450</v>
      </c>
      <c r="E93" s="53">
        <f t="shared" si="30"/>
        <v>450</v>
      </c>
      <c r="F93" s="53">
        <f t="shared" si="30"/>
        <v>450</v>
      </c>
      <c r="G93" s="53">
        <f t="shared" si="30"/>
        <v>450</v>
      </c>
      <c r="H93" s="53">
        <f t="shared" si="30"/>
        <v>450</v>
      </c>
      <c r="I93" s="53">
        <f t="shared" si="30"/>
        <v>450</v>
      </c>
      <c r="J93" s="53">
        <f t="shared" si="30"/>
        <v>450</v>
      </c>
      <c r="K93" s="53">
        <f t="shared" si="30"/>
        <v>450</v>
      </c>
      <c r="L93" s="53">
        <f t="shared" si="30"/>
        <v>450</v>
      </c>
      <c r="M93" s="53">
        <f t="shared" si="30"/>
        <v>450</v>
      </c>
      <c r="N93" s="56">
        <f t="shared" si="30"/>
        <v>450</v>
      </c>
      <c r="P93" s="53">
        <f t="shared" si="31"/>
        <v>9</v>
      </c>
      <c r="Q93" s="154">
        <f t="shared" si="24"/>
        <v>42961</v>
      </c>
      <c r="R93" s="154">
        <f t="shared" si="25"/>
        <v>44056</v>
      </c>
      <c r="T93" s="171">
        <f t="shared" si="26"/>
        <v>2019</v>
      </c>
      <c r="U93" s="53">
        <f t="shared" si="32"/>
        <v>441</v>
      </c>
      <c r="V93" s="53">
        <f t="shared" si="33"/>
        <v>441</v>
      </c>
      <c r="W93" s="53">
        <f t="shared" si="34"/>
        <v>441</v>
      </c>
      <c r="X93" s="53">
        <f t="shared" si="35"/>
        <v>441</v>
      </c>
      <c r="Y93" s="53">
        <f t="shared" si="36"/>
        <v>441</v>
      </c>
      <c r="Z93" s="53">
        <f t="shared" si="37"/>
        <v>441</v>
      </c>
      <c r="AA93" s="53">
        <f t="shared" si="38"/>
        <v>441</v>
      </c>
      <c r="AB93" s="53">
        <f t="shared" si="39"/>
        <v>441</v>
      </c>
      <c r="AC93" s="53">
        <f t="shared" si="40"/>
        <v>441</v>
      </c>
      <c r="AD93" s="53">
        <f t="shared" si="41"/>
        <v>441</v>
      </c>
      <c r="AE93" s="53">
        <f t="shared" si="42"/>
        <v>441</v>
      </c>
      <c r="AF93" s="56">
        <f t="shared" si="43"/>
        <v>441</v>
      </c>
      <c r="AH93" s="53">
        <f t="shared" si="44"/>
        <v>10</v>
      </c>
      <c r="AI93" s="154">
        <f t="shared" si="28"/>
        <v>42767</v>
      </c>
      <c r="AJ93" s="154">
        <f t="shared" si="29"/>
        <v>43862</v>
      </c>
    </row>
    <row r="94" spans="2:36" ht="12">
      <c r="B94" s="171">
        <f t="shared" si="22"/>
        <v>2020</v>
      </c>
      <c r="C94" s="53">
        <f aca="true" t="shared" si="45" ref="C94:C119">VLOOKUP(IF($R93="",$N93,IF(YEAR($R93)=$B94,IF(MONTH($R93)&gt;C$88-1,$P93,$P93+1),IF(YEAR($R93)&lt;$B94,$P93+1,$P93))),$M$20:$O$29,3,1)</f>
        <v>450</v>
      </c>
      <c r="D94" s="53">
        <f aca="true" t="shared" si="46" ref="D94:D119">VLOOKUP(IF($R93="",$N93,IF(YEAR($R93)=$B94,IF(MONTH($R93)&gt;D$88-1,$P93,$P93+1),IF(YEAR($R93)&lt;$B94,$P93+1,$P93))),$M$20:$O$29,3,1)</f>
        <v>450</v>
      </c>
      <c r="E94" s="53">
        <f aca="true" t="shared" si="47" ref="E94:E119">VLOOKUP(IF($R93="",$N93,IF(YEAR($R93)=$B94,IF(MONTH($R93)&gt;E$88-1,$P93,$P93+1),IF(YEAR($R93)&lt;$B94,$P93+1,$P93))),$M$20:$O$29,3,1)</f>
        <v>450</v>
      </c>
      <c r="F94" s="53">
        <f aca="true" t="shared" si="48" ref="F94:F119">VLOOKUP(IF($R93="",$N93,IF(YEAR($R93)=$B94,IF(MONTH($R93)&gt;F$88-1,$P93,$P93+1),IF(YEAR($R93)&lt;$B94,$P93+1,$P93))),$M$20:$O$29,3,1)</f>
        <v>450</v>
      </c>
      <c r="G94" s="53">
        <f aca="true" t="shared" si="49" ref="G94:G119">VLOOKUP(IF($R93="",$N93,IF(YEAR($R93)=$B94,IF(MONTH($R93)&gt;G$88-1,$P93,$P93+1),IF(YEAR($R93)&lt;$B94,$P93+1,$P93))),$M$20:$O$29,3,1)</f>
        <v>450</v>
      </c>
      <c r="H94" s="53">
        <f aca="true" t="shared" si="50" ref="H94:H119">VLOOKUP(IF($R93="",$N93,IF(YEAR($R93)=$B94,IF(MONTH($R93)&gt;H$88-1,$P93,$P93+1),IF(YEAR($R93)&lt;$B94,$P93+1,$P93))),$M$20:$O$29,3,1)</f>
        <v>450</v>
      </c>
      <c r="I94" s="53">
        <f aca="true" t="shared" si="51" ref="I94:I119">VLOOKUP(IF($R93="",$N93,IF(YEAR($R93)=$B94,IF(MONTH($R93)&gt;I$88-1,$P93,$P93+1),IF(YEAR($R93)&lt;$B94,$P93+1,$P93))),$M$20:$O$29,3,1)</f>
        <v>450</v>
      </c>
      <c r="J94" s="53">
        <f aca="true" t="shared" si="52" ref="J94:J119">VLOOKUP(IF($R93="",$N93,IF(YEAR($R93)=$B94,IF(MONTH($R93)&gt;J$88-1,$P93,$P93+1),IF(YEAR($R93)&lt;$B94,$P93+1,$P93))),$M$20:$O$29,3,1)</f>
        <v>450</v>
      </c>
      <c r="K94" s="53">
        <f aca="true" t="shared" si="53" ref="K94:K119">VLOOKUP(IF($R93="",$N93,IF(YEAR($R93)=$B94,IF(MONTH($R93)&gt;K$88-1,$P93,$P93+1),IF(YEAR($R93)&lt;$B94,$P93+1,$P93))),$M$20:$O$29,3,1)</f>
        <v>473</v>
      </c>
      <c r="L94" s="53">
        <f aca="true" t="shared" si="54" ref="L94:L119">VLOOKUP(IF($R93="",$N93,IF(YEAR($R93)=$B94,IF(MONTH($R93)&gt;L$88-1,$P93,$P93+1),IF(YEAR($R93)&lt;$B94,$P93+1,$P93))),$M$20:$O$29,3,1)</f>
        <v>473</v>
      </c>
      <c r="M94" s="53">
        <f aca="true" t="shared" si="55" ref="M94:M119">VLOOKUP(IF($R93="",$N93,IF(YEAR($R93)=$B94,IF(MONTH($R93)&gt;M$88-1,$P93,$P93+1),IF(YEAR($R93)&lt;$B94,$P93+1,$P93))),$M$20:$O$29,3,1)</f>
        <v>473</v>
      </c>
      <c r="N94" s="56">
        <f aca="true" t="shared" si="56" ref="N94:N119">VLOOKUP(IF($R93="",$N93,IF(YEAR($R93)=$B94,IF(MONTH($R93)&gt;N$88-1,$P93,$P93+1),IF(YEAR($R93)&lt;$B94,$P93+1,$P93))),$M$20:$O$29,3,1)</f>
        <v>473</v>
      </c>
      <c r="P94" s="53">
        <f t="shared" si="31"/>
        <v>9</v>
      </c>
      <c r="Q94" s="154">
        <f t="shared" si="24"/>
        <v>42961</v>
      </c>
      <c r="R94" s="154">
        <f t="shared" si="25"/>
        <v>44056</v>
      </c>
      <c r="T94" s="171">
        <f t="shared" si="26"/>
        <v>2020</v>
      </c>
      <c r="U94" s="53">
        <f t="shared" si="32"/>
        <v>441</v>
      </c>
      <c r="V94" s="53">
        <f t="shared" si="33"/>
        <v>441</v>
      </c>
      <c r="W94" s="53">
        <f t="shared" si="34"/>
        <v>457</v>
      </c>
      <c r="X94" s="53">
        <f t="shared" si="35"/>
        <v>457</v>
      </c>
      <c r="Y94" s="53">
        <f t="shared" si="36"/>
        <v>457</v>
      </c>
      <c r="Z94" s="53">
        <f t="shared" si="37"/>
        <v>457</v>
      </c>
      <c r="AA94" s="53">
        <f t="shared" si="38"/>
        <v>457</v>
      </c>
      <c r="AB94" s="53">
        <f t="shared" si="39"/>
        <v>457</v>
      </c>
      <c r="AC94" s="53">
        <f t="shared" si="40"/>
        <v>457</v>
      </c>
      <c r="AD94" s="53">
        <f t="shared" si="41"/>
        <v>457</v>
      </c>
      <c r="AE94" s="53">
        <f t="shared" si="42"/>
        <v>457</v>
      </c>
      <c r="AF94" s="56">
        <f t="shared" si="43"/>
        <v>457</v>
      </c>
      <c r="AH94" s="53">
        <f t="shared" si="44"/>
        <v>10</v>
      </c>
      <c r="AI94" s="154">
        <f t="shared" si="28"/>
        <v>42767</v>
      </c>
      <c r="AJ94" s="154">
        <f t="shared" si="29"/>
        <v>43862</v>
      </c>
    </row>
    <row r="95" spans="2:36" ht="12">
      <c r="B95" s="171">
        <f t="shared" si="22"/>
        <v>2021</v>
      </c>
      <c r="C95" s="53">
        <f t="shared" si="45"/>
        <v>473</v>
      </c>
      <c r="D95" s="53">
        <f t="shared" si="46"/>
        <v>473</v>
      </c>
      <c r="E95" s="53">
        <f t="shared" si="47"/>
        <v>473</v>
      </c>
      <c r="F95" s="53">
        <f t="shared" si="48"/>
        <v>473</v>
      </c>
      <c r="G95" s="53">
        <f t="shared" si="49"/>
        <v>473</v>
      </c>
      <c r="H95" s="53">
        <f t="shared" si="50"/>
        <v>473</v>
      </c>
      <c r="I95" s="53">
        <f t="shared" si="51"/>
        <v>473</v>
      </c>
      <c r="J95" s="53">
        <f t="shared" si="52"/>
        <v>473</v>
      </c>
      <c r="K95" s="53">
        <f t="shared" si="53"/>
        <v>473</v>
      </c>
      <c r="L95" s="53">
        <f t="shared" si="54"/>
        <v>473</v>
      </c>
      <c r="M95" s="53">
        <f t="shared" si="55"/>
        <v>473</v>
      </c>
      <c r="N95" s="56">
        <f t="shared" si="56"/>
        <v>473</v>
      </c>
      <c r="P95" s="53">
        <f t="shared" si="31"/>
        <v>10</v>
      </c>
      <c r="Q95" s="154">
        <f t="shared" si="24"/>
        <v>44057</v>
      </c>
      <c r="R95" s="154">
        <f t="shared" si="25"/>
      </c>
      <c r="T95" s="171">
        <f t="shared" si="26"/>
        <v>2021</v>
      </c>
      <c r="U95" s="53">
        <f t="shared" si="32"/>
        <v>457</v>
      </c>
      <c r="V95" s="53">
        <f t="shared" si="33"/>
        <v>457</v>
      </c>
      <c r="W95" s="53">
        <f t="shared" si="34"/>
        <v>457</v>
      </c>
      <c r="X95" s="53">
        <f t="shared" si="35"/>
        <v>457</v>
      </c>
      <c r="Y95" s="53">
        <f t="shared" si="36"/>
        <v>457</v>
      </c>
      <c r="Z95" s="53">
        <f t="shared" si="37"/>
        <v>457</v>
      </c>
      <c r="AA95" s="53">
        <f t="shared" si="38"/>
        <v>457</v>
      </c>
      <c r="AB95" s="53">
        <f t="shared" si="39"/>
        <v>457</v>
      </c>
      <c r="AC95" s="53">
        <f t="shared" si="40"/>
        <v>457</v>
      </c>
      <c r="AD95" s="53">
        <f t="shared" si="41"/>
        <v>457</v>
      </c>
      <c r="AE95" s="53">
        <f t="shared" si="42"/>
        <v>457</v>
      </c>
      <c r="AF95" s="56">
        <f t="shared" si="43"/>
        <v>457</v>
      </c>
      <c r="AH95" s="53">
        <f t="shared" si="44"/>
        <v>11</v>
      </c>
      <c r="AI95" s="154">
        <f t="shared" si="28"/>
        <v>43863</v>
      </c>
      <c r="AJ95" s="154">
        <f t="shared" si="29"/>
        <v>44958</v>
      </c>
    </row>
    <row r="96" spans="2:36" ht="12">
      <c r="B96" s="171">
        <f t="shared" si="22"/>
        <v>2022</v>
      </c>
      <c r="C96" s="53">
        <f t="shared" si="45"/>
        <v>473</v>
      </c>
      <c r="D96" s="53">
        <f t="shared" si="46"/>
        <v>473</v>
      </c>
      <c r="E96" s="53">
        <f t="shared" si="47"/>
        <v>473</v>
      </c>
      <c r="F96" s="53">
        <f t="shared" si="48"/>
        <v>473</v>
      </c>
      <c r="G96" s="53">
        <f t="shared" si="49"/>
        <v>473</v>
      </c>
      <c r="H96" s="53">
        <f t="shared" si="50"/>
        <v>473</v>
      </c>
      <c r="I96" s="53">
        <f t="shared" si="51"/>
        <v>473</v>
      </c>
      <c r="J96" s="53">
        <f t="shared" si="52"/>
        <v>473</v>
      </c>
      <c r="K96" s="53">
        <f t="shared" si="53"/>
        <v>473</v>
      </c>
      <c r="L96" s="53">
        <f t="shared" si="54"/>
        <v>473</v>
      </c>
      <c r="M96" s="53">
        <f t="shared" si="55"/>
        <v>473</v>
      </c>
      <c r="N96" s="56">
        <f t="shared" si="56"/>
        <v>473</v>
      </c>
      <c r="P96" s="53">
        <f t="shared" si="31"/>
        <v>10</v>
      </c>
      <c r="Q96" s="154">
        <f t="shared" si="24"/>
        <v>44057</v>
      </c>
      <c r="R96" s="154">
        <f t="shared" si="25"/>
      </c>
      <c r="T96" s="171">
        <f t="shared" si="26"/>
        <v>2022</v>
      </c>
      <c r="U96" s="53">
        <f t="shared" si="32"/>
        <v>457</v>
      </c>
      <c r="V96" s="53">
        <f t="shared" si="33"/>
        <v>457</v>
      </c>
      <c r="W96" s="53">
        <f t="shared" si="34"/>
        <v>457</v>
      </c>
      <c r="X96" s="53">
        <f t="shared" si="35"/>
        <v>457</v>
      </c>
      <c r="Y96" s="53">
        <f t="shared" si="36"/>
        <v>457</v>
      </c>
      <c r="Z96" s="53">
        <f t="shared" si="37"/>
        <v>457</v>
      </c>
      <c r="AA96" s="53">
        <f t="shared" si="38"/>
        <v>457</v>
      </c>
      <c r="AB96" s="53">
        <f t="shared" si="39"/>
        <v>457</v>
      </c>
      <c r="AC96" s="53">
        <f t="shared" si="40"/>
        <v>457</v>
      </c>
      <c r="AD96" s="53">
        <f t="shared" si="41"/>
        <v>457</v>
      </c>
      <c r="AE96" s="53">
        <f t="shared" si="42"/>
        <v>457</v>
      </c>
      <c r="AF96" s="56">
        <f t="shared" si="43"/>
        <v>457</v>
      </c>
      <c r="AH96" s="53">
        <f t="shared" si="44"/>
        <v>11</v>
      </c>
      <c r="AI96" s="154">
        <f t="shared" si="28"/>
        <v>43863</v>
      </c>
      <c r="AJ96" s="154">
        <f t="shared" si="29"/>
        <v>44958</v>
      </c>
    </row>
    <row r="97" spans="2:36" ht="12">
      <c r="B97" s="171">
        <f t="shared" si="22"/>
        <v>2023</v>
      </c>
      <c r="C97" s="53">
        <f t="shared" si="45"/>
        <v>473</v>
      </c>
      <c r="D97" s="53">
        <f t="shared" si="46"/>
        <v>473</v>
      </c>
      <c r="E97" s="53">
        <f t="shared" si="47"/>
        <v>473</v>
      </c>
      <c r="F97" s="53">
        <f t="shared" si="48"/>
        <v>473</v>
      </c>
      <c r="G97" s="53">
        <f t="shared" si="49"/>
        <v>473</v>
      </c>
      <c r="H97" s="53">
        <f t="shared" si="50"/>
        <v>473</v>
      </c>
      <c r="I97" s="53">
        <f t="shared" si="51"/>
        <v>473</v>
      </c>
      <c r="J97" s="53">
        <f t="shared" si="52"/>
        <v>473</v>
      </c>
      <c r="K97" s="53">
        <f t="shared" si="53"/>
        <v>473</v>
      </c>
      <c r="L97" s="53">
        <f t="shared" si="54"/>
        <v>473</v>
      </c>
      <c r="M97" s="53">
        <f t="shared" si="55"/>
        <v>473</v>
      </c>
      <c r="N97" s="56">
        <f t="shared" si="56"/>
        <v>473</v>
      </c>
      <c r="P97" s="53">
        <f t="shared" si="31"/>
        <v>10</v>
      </c>
      <c r="Q97" s="154">
        <f t="shared" si="24"/>
        <v>44057</v>
      </c>
      <c r="R97" s="154">
        <f t="shared" si="25"/>
      </c>
      <c r="T97" s="171">
        <f t="shared" si="26"/>
        <v>2023</v>
      </c>
      <c r="U97" s="53">
        <f t="shared" si="32"/>
        <v>457</v>
      </c>
      <c r="V97" s="53">
        <f t="shared" si="33"/>
        <v>457</v>
      </c>
      <c r="W97" s="53">
        <f t="shared" si="34"/>
        <v>477</v>
      </c>
      <c r="X97" s="53">
        <f t="shared" si="35"/>
        <v>477</v>
      </c>
      <c r="Y97" s="53">
        <f t="shared" si="36"/>
        <v>477</v>
      </c>
      <c r="Z97" s="53">
        <f t="shared" si="37"/>
        <v>477</v>
      </c>
      <c r="AA97" s="53">
        <f t="shared" si="38"/>
        <v>477</v>
      </c>
      <c r="AB97" s="53">
        <f t="shared" si="39"/>
        <v>477</v>
      </c>
      <c r="AC97" s="53">
        <f t="shared" si="40"/>
        <v>477</v>
      </c>
      <c r="AD97" s="53">
        <f t="shared" si="41"/>
        <v>477</v>
      </c>
      <c r="AE97" s="53">
        <f t="shared" si="42"/>
        <v>477</v>
      </c>
      <c r="AF97" s="56">
        <f t="shared" si="43"/>
        <v>477</v>
      </c>
      <c r="AH97" s="53">
        <f t="shared" si="44"/>
        <v>11</v>
      </c>
      <c r="AI97" s="154">
        <f t="shared" si="28"/>
        <v>43863</v>
      </c>
      <c r="AJ97" s="154">
        <f t="shared" si="29"/>
        <v>44958</v>
      </c>
    </row>
    <row r="98" spans="2:36" ht="12">
      <c r="B98" s="171">
        <f t="shared" si="22"/>
        <v>2024</v>
      </c>
      <c r="C98" s="53">
        <f t="shared" si="45"/>
        <v>473</v>
      </c>
      <c r="D98" s="53">
        <f t="shared" si="46"/>
        <v>473</v>
      </c>
      <c r="E98" s="53">
        <f t="shared" si="47"/>
        <v>473</v>
      </c>
      <c r="F98" s="53">
        <f t="shared" si="48"/>
        <v>473</v>
      </c>
      <c r="G98" s="53">
        <f t="shared" si="49"/>
        <v>473</v>
      </c>
      <c r="H98" s="53">
        <f t="shared" si="50"/>
        <v>473</v>
      </c>
      <c r="I98" s="53">
        <f t="shared" si="51"/>
        <v>473</v>
      </c>
      <c r="J98" s="53">
        <f t="shared" si="52"/>
        <v>473</v>
      </c>
      <c r="K98" s="53">
        <f t="shared" si="53"/>
        <v>473</v>
      </c>
      <c r="L98" s="53">
        <f t="shared" si="54"/>
        <v>473</v>
      </c>
      <c r="M98" s="53">
        <f t="shared" si="55"/>
        <v>473</v>
      </c>
      <c r="N98" s="56">
        <f t="shared" si="56"/>
        <v>473</v>
      </c>
      <c r="P98" s="53">
        <f t="shared" si="31"/>
        <v>10</v>
      </c>
      <c r="Q98" s="154">
        <f t="shared" si="24"/>
        <v>44057</v>
      </c>
      <c r="R98" s="154">
        <f t="shared" si="25"/>
      </c>
      <c r="T98" s="171">
        <f t="shared" si="26"/>
        <v>2024</v>
      </c>
      <c r="U98" s="53">
        <f t="shared" si="32"/>
        <v>477</v>
      </c>
      <c r="V98" s="53">
        <f t="shared" si="33"/>
        <v>477</v>
      </c>
      <c r="W98" s="53">
        <f t="shared" si="34"/>
        <v>477</v>
      </c>
      <c r="X98" s="53">
        <f t="shared" si="35"/>
        <v>477</v>
      </c>
      <c r="Y98" s="53">
        <f t="shared" si="36"/>
        <v>477</v>
      </c>
      <c r="Z98" s="53">
        <f t="shared" si="37"/>
        <v>477</v>
      </c>
      <c r="AA98" s="53">
        <f t="shared" si="38"/>
        <v>477</v>
      </c>
      <c r="AB98" s="53">
        <f t="shared" si="39"/>
        <v>477</v>
      </c>
      <c r="AC98" s="53">
        <f t="shared" si="40"/>
        <v>477</v>
      </c>
      <c r="AD98" s="53">
        <f t="shared" si="41"/>
        <v>477</v>
      </c>
      <c r="AE98" s="53">
        <f t="shared" si="42"/>
        <v>477</v>
      </c>
      <c r="AF98" s="56">
        <f t="shared" si="43"/>
        <v>477</v>
      </c>
      <c r="AH98" s="53">
        <f t="shared" si="44"/>
        <v>12</v>
      </c>
      <c r="AI98" s="154">
        <f t="shared" si="28"/>
        <v>44959</v>
      </c>
      <c r="AJ98" s="154">
        <f t="shared" si="29"/>
        <v>46419</v>
      </c>
    </row>
    <row r="99" spans="2:36" ht="12">
      <c r="B99" s="171">
        <f t="shared" si="22"/>
        <v>2025</v>
      </c>
      <c r="C99" s="53">
        <f t="shared" si="45"/>
        <v>473</v>
      </c>
      <c r="D99" s="53">
        <f t="shared" si="46"/>
        <v>473</v>
      </c>
      <c r="E99" s="53">
        <f t="shared" si="47"/>
        <v>473</v>
      </c>
      <c r="F99" s="53">
        <f t="shared" si="48"/>
        <v>473</v>
      </c>
      <c r="G99" s="53">
        <f t="shared" si="49"/>
        <v>473</v>
      </c>
      <c r="H99" s="53">
        <f t="shared" si="50"/>
        <v>473</v>
      </c>
      <c r="I99" s="53">
        <f t="shared" si="51"/>
        <v>473</v>
      </c>
      <c r="J99" s="53">
        <f t="shared" si="52"/>
        <v>473</v>
      </c>
      <c r="K99" s="53">
        <f t="shared" si="53"/>
        <v>473</v>
      </c>
      <c r="L99" s="53">
        <f t="shared" si="54"/>
        <v>473</v>
      </c>
      <c r="M99" s="53">
        <f t="shared" si="55"/>
        <v>473</v>
      </c>
      <c r="N99" s="56">
        <f t="shared" si="56"/>
        <v>473</v>
      </c>
      <c r="P99" s="53">
        <f t="shared" si="31"/>
        <v>10</v>
      </c>
      <c r="Q99" s="154">
        <f t="shared" si="24"/>
        <v>44057</v>
      </c>
      <c r="R99" s="154">
        <f t="shared" si="25"/>
      </c>
      <c r="T99" s="171">
        <f t="shared" si="26"/>
        <v>2025</v>
      </c>
      <c r="U99" s="53">
        <f t="shared" si="32"/>
        <v>477</v>
      </c>
      <c r="V99" s="53">
        <f t="shared" si="33"/>
        <v>477</v>
      </c>
      <c r="W99" s="53">
        <f t="shared" si="34"/>
        <v>477</v>
      </c>
      <c r="X99" s="53">
        <f t="shared" si="35"/>
        <v>477</v>
      </c>
      <c r="Y99" s="53">
        <f t="shared" si="36"/>
        <v>477</v>
      </c>
      <c r="Z99" s="53">
        <f t="shared" si="37"/>
        <v>477</v>
      </c>
      <c r="AA99" s="53">
        <f t="shared" si="38"/>
        <v>477</v>
      </c>
      <c r="AB99" s="53">
        <f t="shared" si="39"/>
        <v>477</v>
      </c>
      <c r="AC99" s="53">
        <f t="shared" si="40"/>
        <v>477</v>
      </c>
      <c r="AD99" s="53">
        <f t="shared" si="41"/>
        <v>477</v>
      </c>
      <c r="AE99" s="53">
        <f t="shared" si="42"/>
        <v>477</v>
      </c>
      <c r="AF99" s="56">
        <f t="shared" si="43"/>
        <v>477</v>
      </c>
      <c r="AH99" s="53">
        <f t="shared" si="44"/>
        <v>12</v>
      </c>
      <c r="AI99" s="154">
        <f t="shared" si="28"/>
        <v>44959</v>
      </c>
      <c r="AJ99" s="154">
        <f t="shared" si="29"/>
        <v>46419</v>
      </c>
    </row>
    <row r="100" spans="2:36" ht="12">
      <c r="B100" s="171">
        <f t="shared" si="22"/>
        <v>2026</v>
      </c>
      <c r="C100" s="53">
        <f t="shared" si="45"/>
        <v>473</v>
      </c>
      <c r="D100" s="53">
        <f t="shared" si="46"/>
        <v>473</v>
      </c>
      <c r="E100" s="53">
        <f t="shared" si="47"/>
        <v>473</v>
      </c>
      <c r="F100" s="53">
        <f t="shared" si="48"/>
        <v>473</v>
      </c>
      <c r="G100" s="53">
        <f t="shared" si="49"/>
        <v>473</v>
      </c>
      <c r="H100" s="53">
        <f t="shared" si="50"/>
        <v>473</v>
      </c>
      <c r="I100" s="53">
        <f t="shared" si="51"/>
        <v>473</v>
      </c>
      <c r="J100" s="53">
        <f t="shared" si="52"/>
        <v>473</v>
      </c>
      <c r="K100" s="53">
        <f t="shared" si="53"/>
        <v>473</v>
      </c>
      <c r="L100" s="53">
        <f t="shared" si="54"/>
        <v>473</v>
      </c>
      <c r="M100" s="53">
        <f t="shared" si="55"/>
        <v>473</v>
      </c>
      <c r="N100" s="56">
        <f t="shared" si="56"/>
        <v>473</v>
      </c>
      <c r="P100" s="53">
        <f t="shared" si="31"/>
        <v>10</v>
      </c>
      <c r="Q100" s="154">
        <f t="shared" si="24"/>
        <v>44057</v>
      </c>
      <c r="R100" s="154">
        <f t="shared" si="25"/>
      </c>
      <c r="T100" s="171">
        <f t="shared" si="26"/>
        <v>2026</v>
      </c>
      <c r="U100" s="53">
        <f t="shared" si="32"/>
        <v>477</v>
      </c>
      <c r="V100" s="53">
        <f t="shared" si="33"/>
        <v>477</v>
      </c>
      <c r="W100" s="53">
        <f t="shared" si="34"/>
        <v>477</v>
      </c>
      <c r="X100" s="53">
        <f t="shared" si="35"/>
        <v>477</v>
      </c>
      <c r="Y100" s="53">
        <f t="shared" si="36"/>
        <v>477</v>
      </c>
      <c r="Z100" s="53">
        <f t="shared" si="37"/>
        <v>477</v>
      </c>
      <c r="AA100" s="53">
        <f t="shared" si="38"/>
        <v>477</v>
      </c>
      <c r="AB100" s="53">
        <f t="shared" si="39"/>
        <v>477</v>
      </c>
      <c r="AC100" s="53">
        <f t="shared" si="40"/>
        <v>477</v>
      </c>
      <c r="AD100" s="53">
        <f t="shared" si="41"/>
        <v>477</v>
      </c>
      <c r="AE100" s="53">
        <f t="shared" si="42"/>
        <v>477</v>
      </c>
      <c r="AF100" s="56">
        <f t="shared" si="43"/>
        <v>477</v>
      </c>
      <c r="AH100" s="53">
        <f t="shared" si="44"/>
        <v>12</v>
      </c>
      <c r="AI100" s="154">
        <f t="shared" si="28"/>
        <v>44959</v>
      </c>
      <c r="AJ100" s="154">
        <f t="shared" si="29"/>
        <v>46419</v>
      </c>
    </row>
    <row r="101" spans="2:36" ht="12">
      <c r="B101" s="171">
        <f t="shared" si="22"/>
        <v>2027</v>
      </c>
      <c r="C101" s="53">
        <f t="shared" si="45"/>
        <v>473</v>
      </c>
      <c r="D101" s="53">
        <f t="shared" si="46"/>
        <v>473</v>
      </c>
      <c r="E101" s="53">
        <f t="shared" si="47"/>
        <v>473</v>
      </c>
      <c r="F101" s="53">
        <f t="shared" si="48"/>
        <v>473</v>
      </c>
      <c r="G101" s="53">
        <f t="shared" si="49"/>
        <v>473</v>
      </c>
      <c r="H101" s="53">
        <f t="shared" si="50"/>
        <v>473</v>
      </c>
      <c r="I101" s="53">
        <f t="shared" si="51"/>
        <v>473</v>
      </c>
      <c r="J101" s="53">
        <f t="shared" si="52"/>
        <v>473</v>
      </c>
      <c r="K101" s="53">
        <f t="shared" si="53"/>
        <v>473</v>
      </c>
      <c r="L101" s="53">
        <f t="shared" si="54"/>
        <v>473</v>
      </c>
      <c r="M101" s="53">
        <f t="shared" si="55"/>
        <v>473</v>
      </c>
      <c r="N101" s="56">
        <f t="shared" si="56"/>
        <v>473</v>
      </c>
      <c r="P101" s="53">
        <f t="shared" si="31"/>
        <v>10</v>
      </c>
      <c r="Q101" s="154">
        <f t="shared" si="24"/>
        <v>44057</v>
      </c>
      <c r="R101" s="154">
        <f t="shared" si="25"/>
      </c>
      <c r="T101" s="171">
        <f t="shared" si="26"/>
        <v>2027</v>
      </c>
      <c r="U101" s="53">
        <f t="shared" si="32"/>
        <v>477</v>
      </c>
      <c r="V101" s="53">
        <f t="shared" si="33"/>
        <v>477</v>
      </c>
      <c r="W101" s="53">
        <f t="shared" si="34"/>
        <v>503</v>
      </c>
      <c r="X101" s="53">
        <f t="shared" si="35"/>
        <v>503</v>
      </c>
      <c r="Y101" s="53">
        <f t="shared" si="36"/>
        <v>503</v>
      </c>
      <c r="Z101" s="53">
        <f t="shared" si="37"/>
        <v>503</v>
      </c>
      <c r="AA101" s="53">
        <f t="shared" si="38"/>
        <v>503</v>
      </c>
      <c r="AB101" s="53">
        <f t="shared" si="39"/>
        <v>503</v>
      </c>
      <c r="AC101" s="53">
        <f t="shared" si="40"/>
        <v>503</v>
      </c>
      <c r="AD101" s="53">
        <f t="shared" si="41"/>
        <v>503</v>
      </c>
      <c r="AE101" s="53">
        <f t="shared" si="42"/>
        <v>503</v>
      </c>
      <c r="AF101" s="56">
        <f t="shared" si="43"/>
        <v>503</v>
      </c>
      <c r="AH101" s="53">
        <f t="shared" si="44"/>
        <v>12</v>
      </c>
      <c r="AI101" s="154">
        <f t="shared" si="28"/>
        <v>44959</v>
      </c>
      <c r="AJ101" s="154">
        <f t="shared" si="29"/>
        <v>46419</v>
      </c>
    </row>
    <row r="102" spans="2:36" ht="12">
      <c r="B102" s="171">
        <f t="shared" si="22"/>
        <v>2028</v>
      </c>
      <c r="C102" s="53">
        <f t="shared" si="45"/>
        <v>473</v>
      </c>
      <c r="D102" s="53">
        <f t="shared" si="46"/>
        <v>473</v>
      </c>
      <c r="E102" s="53">
        <f t="shared" si="47"/>
        <v>473</v>
      </c>
      <c r="F102" s="53">
        <f t="shared" si="48"/>
        <v>473</v>
      </c>
      <c r="G102" s="53">
        <f t="shared" si="49"/>
        <v>473</v>
      </c>
      <c r="H102" s="53">
        <f t="shared" si="50"/>
        <v>473</v>
      </c>
      <c r="I102" s="53">
        <f t="shared" si="51"/>
        <v>473</v>
      </c>
      <c r="J102" s="53">
        <f t="shared" si="52"/>
        <v>473</v>
      </c>
      <c r="K102" s="53">
        <f t="shared" si="53"/>
        <v>473</v>
      </c>
      <c r="L102" s="53">
        <f t="shared" si="54"/>
        <v>473</v>
      </c>
      <c r="M102" s="53">
        <f t="shared" si="55"/>
        <v>473</v>
      </c>
      <c r="N102" s="56">
        <f t="shared" si="56"/>
        <v>473</v>
      </c>
      <c r="P102" s="53">
        <f t="shared" si="31"/>
        <v>10</v>
      </c>
      <c r="Q102" s="154">
        <f t="shared" si="24"/>
        <v>44057</v>
      </c>
      <c r="R102" s="154">
        <f t="shared" si="25"/>
      </c>
      <c r="T102" s="171">
        <f t="shared" si="26"/>
        <v>2028</v>
      </c>
      <c r="U102" s="53">
        <f t="shared" si="32"/>
        <v>503</v>
      </c>
      <c r="V102" s="53">
        <f t="shared" si="33"/>
        <v>503</v>
      </c>
      <c r="W102" s="53">
        <f t="shared" si="34"/>
        <v>503</v>
      </c>
      <c r="X102" s="53">
        <f t="shared" si="35"/>
        <v>503</v>
      </c>
      <c r="Y102" s="53">
        <f t="shared" si="36"/>
        <v>503</v>
      </c>
      <c r="Z102" s="53">
        <f t="shared" si="37"/>
        <v>503</v>
      </c>
      <c r="AA102" s="53">
        <f t="shared" si="38"/>
        <v>503</v>
      </c>
      <c r="AB102" s="53">
        <f t="shared" si="39"/>
        <v>503</v>
      </c>
      <c r="AC102" s="53">
        <f t="shared" si="40"/>
        <v>503</v>
      </c>
      <c r="AD102" s="53">
        <f t="shared" si="41"/>
        <v>503</v>
      </c>
      <c r="AE102" s="53">
        <f t="shared" si="42"/>
        <v>503</v>
      </c>
      <c r="AF102" s="56">
        <f t="shared" si="43"/>
        <v>503</v>
      </c>
      <c r="AH102" s="53">
        <f t="shared" si="44"/>
        <v>13</v>
      </c>
      <c r="AI102" s="154">
        <f t="shared" si="28"/>
        <v>46420</v>
      </c>
      <c r="AJ102" s="154">
        <f t="shared" si="29"/>
      </c>
    </row>
    <row r="103" spans="2:36" ht="12">
      <c r="B103" s="171">
        <f t="shared" si="22"/>
        <v>2029</v>
      </c>
      <c r="C103" s="53">
        <f t="shared" si="45"/>
        <v>473</v>
      </c>
      <c r="D103" s="53">
        <f t="shared" si="46"/>
        <v>473</v>
      </c>
      <c r="E103" s="53">
        <f t="shared" si="47"/>
        <v>473</v>
      </c>
      <c r="F103" s="53">
        <f t="shared" si="48"/>
        <v>473</v>
      </c>
      <c r="G103" s="53">
        <f t="shared" si="49"/>
        <v>473</v>
      </c>
      <c r="H103" s="53">
        <f t="shared" si="50"/>
        <v>473</v>
      </c>
      <c r="I103" s="53">
        <f t="shared" si="51"/>
        <v>473</v>
      </c>
      <c r="J103" s="53">
        <f t="shared" si="52"/>
        <v>473</v>
      </c>
      <c r="K103" s="53">
        <f t="shared" si="53"/>
        <v>473</v>
      </c>
      <c r="L103" s="53">
        <f t="shared" si="54"/>
        <v>473</v>
      </c>
      <c r="M103" s="53">
        <f t="shared" si="55"/>
        <v>473</v>
      </c>
      <c r="N103" s="56">
        <f t="shared" si="56"/>
        <v>473</v>
      </c>
      <c r="P103" s="53">
        <f t="shared" si="31"/>
        <v>10</v>
      </c>
      <c r="Q103" s="154">
        <f t="shared" si="24"/>
        <v>44057</v>
      </c>
      <c r="R103" s="154">
        <f t="shared" si="25"/>
      </c>
      <c r="T103" s="171">
        <f t="shared" si="26"/>
        <v>2029</v>
      </c>
      <c r="U103" s="53">
        <f t="shared" si="32"/>
        <v>503</v>
      </c>
      <c r="V103" s="53">
        <f t="shared" si="33"/>
        <v>503</v>
      </c>
      <c r="W103" s="53">
        <f t="shared" si="34"/>
        <v>503</v>
      </c>
      <c r="X103" s="53">
        <f t="shared" si="35"/>
        <v>503</v>
      </c>
      <c r="Y103" s="53">
        <f t="shared" si="36"/>
        <v>503</v>
      </c>
      <c r="Z103" s="53">
        <f t="shared" si="37"/>
        <v>503</v>
      </c>
      <c r="AA103" s="53">
        <f t="shared" si="38"/>
        <v>503</v>
      </c>
      <c r="AB103" s="53">
        <f t="shared" si="39"/>
        <v>503</v>
      </c>
      <c r="AC103" s="53">
        <f t="shared" si="40"/>
        <v>503</v>
      </c>
      <c r="AD103" s="53">
        <f t="shared" si="41"/>
        <v>503</v>
      </c>
      <c r="AE103" s="53">
        <f t="shared" si="42"/>
        <v>503</v>
      </c>
      <c r="AF103" s="56">
        <f t="shared" si="43"/>
        <v>503</v>
      </c>
      <c r="AH103" s="53">
        <f t="shared" si="44"/>
        <v>13</v>
      </c>
      <c r="AI103" s="154">
        <f t="shared" si="28"/>
        <v>46420</v>
      </c>
      <c r="AJ103" s="154">
        <f t="shared" si="29"/>
      </c>
    </row>
    <row r="104" spans="2:36" ht="12">
      <c r="B104" s="171">
        <f t="shared" si="22"/>
        <v>2030</v>
      </c>
      <c r="C104" s="53">
        <f t="shared" si="45"/>
        <v>473</v>
      </c>
      <c r="D104" s="53">
        <f t="shared" si="46"/>
        <v>473</v>
      </c>
      <c r="E104" s="53">
        <f t="shared" si="47"/>
        <v>473</v>
      </c>
      <c r="F104" s="53">
        <f t="shared" si="48"/>
        <v>473</v>
      </c>
      <c r="G104" s="53">
        <f t="shared" si="49"/>
        <v>473</v>
      </c>
      <c r="H104" s="53">
        <f t="shared" si="50"/>
        <v>473</v>
      </c>
      <c r="I104" s="53">
        <f t="shared" si="51"/>
        <v>473</v>
      </c>
      <c r="J104" s="53">
        <f t="shared" si="52"/>
        <v>473</v>
      </c>
      <c r="K104" s="53">
        <f t="shared" si="53"/>
        <v>473</v>
      </c>
      <c r="L104" s="53">
        <f t="shared" si="54"/>
        <v>473</v>
      </c>
      <c r="M104" s="53">
        <f t="shared" si="55"/>
        <v>473</v>
      </c>
      <c r="N104" s="56">
        <f t="shared" si="56"/>
        <v>473</v>
      </c>
      <c r="P104" s="53">
        <f t="shared" si="31"/>
        <v>10</v>
      </c>
      <c r="Q104" s="154">
        <f t="shared" si="24"/>
        <v>44057</v>
      </c>
      <c r="R104" s="154">
        <f t="shared" si="25"/>
      </c>
      <c r="T104" s="171">
        <f t="shared" si="26"/>
        <v>2030</v>
      </c>
      <c r="U104" s="53">
        <f t="shared" si="32"/>
        <v>503</v>
      </c>
      <c r="V104" s="53">
        <f t="shared" si="33"/>
        <v>503</v>
      </c>
      <c r="W104" s="53">
        <f t="shared" si="34"/>
        <v>503</v>
      </c>
      <c r="X104" s="53">
        <f t="shared" si="35"/>
        <v>503</v>
      </c>
      <c r="Y104" s="53">
        <f t="shared" si="36"/>
        <v>503</v>
      </c>
      <c r="Z104" s="53">
        <f t="shared" si="37"/>
        <v>503</v>
      </c>
      <c r="AA104" s="53">
        <f t="shared" si="38"/>
        <v>503</v>
      </c>
      <c r="AB104" s="53">
        <f t="shared" si="39"/>
        <v>503</v>
      </c>
      <c r="AC104" s="53">
        <f t="shared" si="40"/>
        <v>503</v>
      </c>
      <c r="AD104" s="53">
        <f t="shared" si="41"/>
        <v>503</v>
      </c>
      <c r="AE104" s="53">
        <f t="shared" si="42"/>
        <v>503</v>
      </c>
      <c r="AF104" s="56">
        <f t="shared" si="43"/>
        <v>503</v>
      </c>
      <c r="AH104" s="53">
        <f t="shared" si="44"/>
        <v>13</v>
      </c>
      <c r="AI104" s="154">
        <f t="shared" si="28"/>
        <v>46420</v>
      </c>
      <c r="AJ104" s="154">
        <f t="shared" si="29"/>
      </c>
    </row>
    <row r="105" spans="2:36" ht="12">
      <c r="B105" s="171">
        <f t="shared" si="22"/>
        <v>2031</v>
      </c>
      <c r="C105" s="53">
        <f t="shared" si="45"/>
        <v>473</v>
      </c>
      <c r="D105" s="53">
        <f t="shared" si="46"/>
        <v>473</v>
      </c>
      <c r="E105" s="53">
        <f t="shared" si="47"/>
        <v>473</v>
      </c>
      <c r="F105" s="53">
        <f t="shared" si="48"/>
        <v>473</v>
      </c>
      <c r="G105" s="53">
        <f t="shared" si="49"/>
        <v>473</v>
      </c>
      <c r="H105" s="53">
        <f t="shared" si="50"/>
        <v>473</v>
      </c>
      <c r="I105" s="53">
        <f t="shared" si="51"/>
        <v>473</v>
      </c>
      <c r="J105" s="53">
        <f t="shared" si="52"/>
        <v>473</v>
      </c>
      <c r="K105" s="53">
        <f t="shared" si="53"/>
        <v>473</v>
      </c>
      <c r="L105" s="53">
        <f t="shared" si="54"/>
        <v>473</v>
      </c>
      <c r="M105" s="53">
        <f t="shared" si="55"/>
        <v>473</v>
      </c>
      <c r="N105" s="56">
        <f t="shared" si="56"/>
        <v>473</v>
      </c>
      <c r="P105" s="53">
        <f t="shared" si="31"/>
        <v>10</v>
      </c>
      <c r="Q105" s="154">
        <f t="shared" si="24"/>
        <v>44057</v>
      </c>
      <c r="R105" s="154">
        <f t="shared" si="25"/>
      </c>
      <c r="T105" s="171">
        <f t="shared" si="26"/>
        <v>2031</v>
      </c>
      <c r="U105" s="53">
        <f t="shared" si="32"/>
        <v>503</v>
      </c>
      <c r="V105" s="53">
        <f t="shared" si="33"/>
        <v>503</v>
      </c>
      <c r="W105" s="53">
        <f t="shared" si="34"/>
        <v>503</v>
      </c>
      <c r="X105" s="53">
        <f t="shared" si="35"/>
        <v>503</v>
      </c>
      <c r="Y105" s="53">
        <f t="shared" si="36"/>
        <v>503</v>
      </c>
      <c r="Z105" s="53">
        <f t="shared" si="37"/>
        <v>503</v>
      </c>
      <c r="AA105" s="53">
        <f t="shared" si="38"/>
        <v>503</v>
      </c>
      <c r="AB105" s="53">
        <f t="shared" si="39"/>
        <v>503</v>
      </c>
      <c r="AC105" s="53">
        <f t="shared" si="40"/>
        <v>503</v>
      </c>
      <c r="AD105" s="53">
        <f t="shared" si="41"/>
        <v>503</v>
      </c>
      <c r="AE105" s="53">
        <f t="shared" si="42"/>
        <v>503</v>
      </c>
      <c r="AF105" s="56">
        <f t="shared" si="43"/>
        <v>503</v>
      </c>
      <c r="AH105" s="53">
        <f t="shared" si="44"/>
        <v>13</v>
      </c>
      <c r="AI105" s="154">
        <f t="shared" si="28"/>
        <v>46420</v>
      </c>
      <c r="AJ105" s="154">
        <f t="shared" si="29"/>
      </c>
    </row>
    <row r="106" spans="2:36" ht="12">
      <c r="B106" s="171">
        <f t="shared" si="22"/>
        <v>2032</v>
      </c>
      <c r="C106" s="53">
        <f t="shared" si="45"/>
        <v>473</v>
      </c>
      <c r="D106" s="53">
        <f t="shared" si="46"/>
        <v>473</v>
      </c>
      <c r="E106" s="53">
        <f t="shared" si="47"/>
        <v>473</v>
      </c>
      <c r="F106" s="53">
        <f t="shared" si="48"/>
        <v>473</v>
      </c>
      <c r="G106" s="53">
        <f t="shared" si="49"/>
        <v>473</v>
      </c>
      <c r="H106" s="53">
        <f t="shared" si="50"/>
        <v>473</v>
      </c>
      <c r="I106" s="53">
        <f t="shared" si="51"/>
        <v>473</v>
      </c>
      <c r="J106" s="53">
        <f t="shared" si="52"/>
        <v>473</v>
      </c>
      <c r="K106" s="53">
        <f t="shared" si="53"/>
        <v>473</v>
      </c>
      <c r="L106" s="53">
        <f t="shared" si="54"/>
        <v>473</v>
      </c>
      <c r="M106" s="53">
        <f t="shared" si="55"/>
        <v>473</v>
      </c>
      <c r="N106" s="56">
        <f t="shared" si="56"/>
        <v>473</v>
      </c>
      <c r="P106" s="53">
        <f t="shared" si="31"/>
        <v>10</v>
      </c>
      <c r="Q106" s="154">
        <f t="shared" si="24"/>
        <v>44057</v>
      </c>
      <c r="R106" s="154">
        <f t="shared" si="25"/>
      </c>
      <c r="T106" s="171">
        <f t="shared" si="26"/>
        <v>2032</v>
      </c>
      <c r="U106" s="53">
        <f t="shared" si="32"/>
        <v>503</v>
      </c>
      <c r="V106" s="53">
        <f t="shared" si="33"/>
        <v>503</v>
      </c>
      <c r="W106" s="53">
        <f t="shared" si="34"/>
        <v>503</v>
      </c>
      <c r="X106" s="53">
        <f t="shared" si="35"/>
        <v>503</v>
      </c>
      <c r="Y106" s="53">
        <f t="shared" si="36"/>
        <v>503</v>
      </c>
      <c r="Z106" s="53">
        <f t="shared" si="37"/>
        <v>503</v>
      </c>
      <c r="AA106" s="53">
        <f t="shared" si="38"/>
        <v>503</v>
      </c>
      <c r="AB106" s="53">
        <f t="shared" si="39"/>
        <v>503</v>
      </c>
      <c r="AC106" s="53">
        <f t="shared" si="40"/>
        <v>503</v>
      </c>
      <c r="AD106" s="53">
        <f t="shared" si="41"/>
        <v>503</v>
      </c>
      <c r="AE106" s="53">
        <f t="shared" si="42"/>
        <v>503</v>
      </c>
      <c r="AF106" s="56">
        <f t="shared" si="43"/>
        <v>503</v>
      </c>
      <c r="AH106" s="53">
        <f t="shared" si="44"/>
        <v>13</v>
      </c>
      <c r="AI106" s="154">
        <f t="shared" si="28"/>
        <v>46420</v>
      </c>
      <c r="AJ106" s="154">
        <f t="shared" si="29"/>
      </c>
    </row>
    <row r="107" spans="2:36" ht="12">
      <c r="B107" s="171">
        <f t="shared" si="22"/>
        <v>2033</v>
      </c>
      <c r="C107" s="53">
        <f t="shared" si="45"/>
        <v>473</v>
      </c>
      <c r="D107" s="53">
        <f t="shared" si="46"/>
        <v>473</v>
      </c>
      <c r="E107" s="53">
        <f t="shared" si="47"/>
        <v>473</v>
      </c>
      <c r="F107" s="53">
        <f t="shared" si="48"/>
        <v>473</v>
      </c>
      <c r="G107" s="53">
        <f t="shared" si="49"/>
        <v>473</v>
      </c>
      <c r="H107" s="53">
        <f t="shared" si="50"/>
        <v>473</v>
      </c>
      <c r="I107" s="53">
        <f t="shared" si="51"/>
        <v>473</v>
      </c>
      <c r="J107" s="53">
        <f t="shared" si="52"/>
        <v>473</v>
      </c>
      <c r="K107" s="53">
        <f t="shared" si="53"/>
        <v>473</v>
      </c>
      <c r="L107" s="53">
        <f t="shared" si="54"/>
        <v>473</v>
      </c>
      <c r="M107" s="53">
        <f t="shared" si="55"/>
        <v>473</v>
      </c>
      <c r="N107" s="56">
        <f t="shared" si="56"/>
        <v>473</v>
      </c>
      <c r="P107" s="53">
        <f t="shared" si="31"/>
        <v>10</v>
      </c>
      <c r="Q107" s="154">
        <f t="shared" si="24"/>
        <v>44057</v>
      </c>
      <c r="R107" s="154">
        <f t="shared" si="25"/>
      </c>
      <c r="T107" s="171">
        <f t="shared" si="26"/>
        <v>2033</v>
      </c>
      <c r="U107" s="53">
        <f t="shared" si="32"/>
        <v>503</v>
      </c>
      <c r="V107" s="53">
        <f t="shared" si="33"/>
        <v>503</v>
      </c>
      <c r="W107" s="53">
        <f t="shared" si="34"/>
        <v>503</v>
      </c>
      <c r="X107" s="53">
        <f t="shared" si="35"/>
        <v>503</v>
      </c>
      <c r="Y107" s="53">
        <f t="shared" si="36"/>
        <v>503</v>
      </c>
      <c r="Z107" s="53">
        <f t="shared" si="37"/>
        <v>503</v>
      </c>
      <c r="AA107" s="53">
        <f t="shared" si="38"/>
        <v>503</v>
      </c>
      <c r="AB107" s="53">
        <f t="shared" si="39"/>
        <v>503</v>
      </c>
      <c r="AC107" s="53">
        <f t="shared" si="40"/>
        <v>503</v>
      </c>
      <c r="AD107" s="53">
        <f t="shared" si="41"/>
        <v>503</v>
      </c>
      <c r="AE107" s="53">
        <f t="shared" si="42"/>
        <v>503</v>
      </c>
      <c r="AF107" s="56">
        <f t="shared" si="43"/>
        <v>503</v>
      </c>
      <c r="AH107" s="53">
        <f t="shared" si="44"/>
        <v>13</v>
      </c>
      <c r="AI107" s="154">
        <f t="shared" si="28"/>
        <v>46420</v>
      </c>
      <c r="AJ107" s="154">
        <f t="shared" si="29"/>
      </c>
    </row>
    <row r="108" spans="2:36" ht="12">
      <c r="B108" s="171">
        <f t="shared" si="22"/>
        <v>2034</v>
      </c>
      <c r="C108" s="53">
        <f t="shared" si="45"/>
        <v>473</v>
      </c>
      <c r="D108" s="53">
        <f t="shared" si="46"/>
        <v>473</v>
      </c>
      <c r="E108" s="53">
        <f t="shared" si="47"/>
        <v>473</v>
      </c>
      <c r="F108" s="53">
        <f t="shared" si="48"/>
        <v>473</v>
      </c>
      <c r="G108" s="53">
        <f t="shared" si="49"/>
        <v>473</v>
      </c>
      <c r="H108" s="53">
        <f t="shared" si="50"/>
        <v>473</v>
      </c>
      <c r="I108" s="53">
        <f t="shared" si="51"/>
        <v>473</v>
      </c>
      <c r="J108" s="53">
        <f t="shared" si="52"/>
        <v>473</v>
      </c>
      <c r="K108" s="53">
        <f t="shared" si="53"/>
        <v>473</v>
      </c>
      <c r="L108" s="53">
        <f t="shared" si="54"/>
        <v>473</v>
      </c>
      <c r="M108" s="53">
        <f t="shared" si="55"/>
        <v>473</v>
      </c>
      <c r="N108" s="56">
        <f t="shared" si="56"/>
        <v>473</v>
      </c>
      <c r="P108" s="53">
        <f t="shared" si="31"/>
        <v>10</v>
      </c>
      <c r="Q108" s="154">
        <f t="shared" si="24"/>
        <v>44057</v>
      </c>
      <c r="R108" s="154">
        <f t="shared" si="25"/>
      </c>
      <c r="T108" s="171">
        <f t="shared" si="26"/>
        <v>2034</v>
      </c>
      <c r="U108" s="53">
        <f t="shared" si="32"/>
        <v>503</v>
      </c>
      <c r="V108" s="53">
        <f t="shared" si="33"/>
        <v>503</v>
      </c>
      <c r="W108" s="53">
        <f t="shared" si="34"/>
        <v>503</v>
      </c>
      <c r="X108" s="53">
        <f t="shared" si="35"/>
        <v>503</v>
      </c>
      <c r="Y108" s="53">
        <f t="shared" si="36"/>
        <v>503</v>
      </c>
      <c r="Z108" s="53">
        <f t="shared" si="37"/>
        <v>503</v>
      </c>
      <c r="AA108" s="53">
        <f t="shared" si="38"/>
        <v>503</v>
      </c>
      <c r="AB108" s="53">
        <f t="shared" si="39"/>
        <v>503</v>
      </c>
      <c r="AC108" s="53">
        <f t="shared" si="40"/>
        <v>503</v>
      </c>
      <c r="AD108" s="53">
        <f t="shared" si="41"/>
        <v>503</v>
      </c>
      <c r="AE108" s="53">
        <f t="shared" si="42"/>
        <v>503</v>
      </c>
      <c r="AF108" s="56">
        <f t="shared" si="43"/>
        <v>503</v>
      </c>
      <c r="AH108" s="53">
        <f t="shared" si="44"/>
        <v>13</v>
      </c>
      <c r="AI108" s="154">
        <f t="shared" si="28"/>
        <v>46420</v>
      </c>
      <c r="AJ108" s="154">
        <f t="shared" si="29"/>
      </c>
    </row>
    <row r="109" spans="2:36" ht="12">
      <c r="B109" s="171">
        <f t="shared" si="22"/>
        <v>2035</v>
      </c>
      <c r="C109" s="53">
        <f t="shared" si="45"/>
        <v>473</v>
      </c>
      <c r="D109" s="53">
        <f t="shared" si="46"/>
        <v>473</v>
      </c>
      <c r="E109" s="53">
        <f t="shared" si="47"/>
        <v>473</v>
      </c>
      <c r="F109" s="53">
        <f t="shared" si="48"/>
        <v>473</v>
      </c>
      <c r="G109" s="53">
        <f t="shared" si="49"/>
        <v>473</v>
      </c>
      <c r="H109" s="53">
        <f t="shared" si="50"/>
        <v>473</v>
      </c>
      <c r="I109" s="53">
        <f t="shared" si="51"/>
        <v>473</v>
      </c>
      <c r="J109" s="53">
        <f t="shared" si="52"/>
        <v>473</v>
      </c>
      <c r="K109" s="53">
        <f t="shared" si="53"/>
        <v>473</v>
      </c>
      <c r="L109" s="53">
        <f t="shared" si="54"/>
        <v>473</v>
      </c>
      <c r="M109" s="53">
        <f t="shared" si="55"/>
        <v>473</v>
      </c>
      <c r="N109" s="56">
        <f t="shared" si="56"/>
        <v>473</v>
      </c>
      <c r="P109" s="53">
        <f t="shared" si="31"/>
        <v>10</v>
      </c>
      <c r="Q109" s="154">
        <f t="shared" si="24"/>
        <v>44057</v>
      </c>
      <c r="R109" s="154">
        <f t="shared" si="25"/>
      </c>
      <c r="T109" s="171">
        <f t="shared" si="26"/>
        <v>2035</v>
      </c>
      <c r="U109" s="53">
        <f t="shared" si="32"/>
        <v>503</v>
      </c>
      <c r="V109" s="53">
        <f t="shared" si="33"/>
        <v>503</v>
      </c>
      <c r="W109" s="53">
        <f t="shared" si="34"/>
        <v>503</v>
      </c>
      <c r="X109" s="53">
        <f t="shared" si="35"/>
        <v>503</v>
      </c>
      <c r="Y109" s="53">
        <f t="shared" si="36"/>
        <v>503</v>
      </c>
      <c r="Z109" s="53">
        <f t="shared" si="37"/>
        <v>503</v>
      </c>
      <c r="AA109" s="53">
        <f t="shared" si="38"/>
        <v>503</v>
      </c>
      <c r="AB109" s="53">
        <f t="shared" si="39"/>
        <v>503</v>
      </c>
      <c r="AC109" s="53">
        <f t="shared" si="40"/>
        <v>503</v>
      </c>
      <c r="AD109" s="53">
        <f t="shared" si="41"/>
        <v>503</v>
      </c>
      <c r="AE109" s="53">
        <f t="shared" si="42"/>
        <v>503</v>
      </c>
      <c r="AF109" s="56">
        <f t="shared" si="43"/>
        <v>503</v>
      </c>
      <c r="AH109" s="53">
        <f t="shared" si="44"/>
        <v>13</v>
      </c>
      <c r="AI109" s="154">
        <f t="shared" si="28"/>
        <v>46420</v>
      </c>
      <c r="AJ109" s="154">
        <f t="shared" si="29"/>
      </c>
    </row>
    <row r="110" spans="2:36" ht="12">
      <c r="B110" s="171">
        <f t="shared" si="22"/>
        <v>2036</v>
      </c>
      <c r="C110" s="53">
        <f t="shared" si="45"/>
        <v>473</v>
      </c>
      <c r="D110" s="53">
        <f t="shared" si="46"/>
        <v>473</v>
      </c>
      <c r="E110" s="53">
        <f t="shared" si="47"/>
        <v>473</v>
      </c>
      <c r="F110" s="53">
        <f t="shared" si="48"/>
        <v>473</v>
      </c>
      <c r="G110" s="53">
        <f t="shared" si="49"/>
        <v>473</v>
      </c>
      <c r="H110" s="53">
        <f t="shared" si="50"/>
        <v>473</v>
      </c>
      <c r="I110" s="53">
        <f t="shared" si="51"/>
        <v>473</v>
      </c>
      <c r="J110" s="53">
        <f t="shared" si="52"/>
        <v>473</v>
      </c>
      <c r="K110" s="53">
        <f t="shared" si="53"/>
        <v>473</v>
      </c>
      <c r="L110" s="53">
        <f t="shared" si="54"/>
        <v>473</v>
      </c>
      <c r="M110" s="53">
        <f t="shared" si="55"/>
        <v>473</v>
      </c>
      <c r="N110" s="56">
        <f t="shared" si="56"/>
        <v>473</v>
      </c>
      <c r="P110" s="53">
        <f t="shared" si="31"/>
        <v>10</v>
      </c>
      <c r="Q110" s="154">
        <f t="shared" si="24"/>
        <v>44057</v>
      </c>
      <c r="R110" s="154">
        <f t="shared" si="25"/>
      </c>
      <c r="T110" s="171">
        <f t="shared" si="26"/>
        <v>2036</v>
      </c>
      <c r="U110" s="53">
        <f t="shared" si="32"/>
        <v>503</v>
      </c>
      <c r="V110" s="53">
        <f t="shared" si="33"/>
        <v>503</v>
      </c>
      <c r="W110" s="53">
        <f t="shared" si="34"/>
        <v>503</v>
      </c>
      <c r="X110" s="53">
        <f t="shared" si="35"/>
        <v>503</v>
      </c>
      <c r="Y110" s="53">
        <f t="shared" si="36"/>
        <v>503</v>
      </c>
      <c r="Z110" s="53">
        <f t="shared" si="37"/>
        <v>503</v>
      </c>
      <c r="AA110" s="53">
        <f t="shared" si="38"/>
        <v>503</v>
      </c>
      <c r="AB110" s="53">
        <f t="shared" si="39"/>
        <v>503</v>
      </c>
      <c r="AC110" s="53">
        <f t="shared" si="40"/>
        <v>503</v>
      </c>
      <c r="AD110" s="53">
        <f t="shared" si="41"/>
        <v>503</v>
      </c>
      <c r="AE110" s="53">
        <f t="shared" si="42"/>
        <v>503</v>
      </c>
      <c r="AF110" s="56">
        <f t="shared" si="43"/>
        <v>503</v>
      </c>
      <c r="AH110" s="53">
        <f t="shared" si="44"/>
        <v>13</v>
      </c>
      <c r="AI110" s="154">
        <f t="shared" si="28"/>
        <v>46420</v>
      </c>
      <c r="AJ110" s="154">
        <f t="shared" si="29"/>
      </c>
    </row>
    <row r="111" spans="2:36" ht="12">
      <c r="B111" s="171">
        <f t="shared" si="22"/>
        <v>2037</v>
      </c>
      <c r="C111" s="53">
        <f t="shared" si="45"/>
        <v>473</v>
      </c>
      <c r="D111" s="53">
        <f t="shared" si="46"/>
        <v>473</v>
      </c>
      <c r="E111" s="53">
        <f t="shared" si="47"/>
        <v>473</v>
      </c>
      <c r="F111" s="53">
        <f t="shared" si="48"/>
        <v>473</v>
      </c>
      <c r="G111" s="53">
        <f t="shared" si="49"/>
        <v>473</v>
      </c>
      <c r="H111" s="53">
        <f t="shared" si="50"/>
        <v>473</v>
      </c>
      <c r="I111" s="53">
        <f t="shared" si="51"/>
        <v>473</v>
      </c>
      <c r="J111" s="53">
        <f t="shared" si="52"/>
        <v>473</v>
      </c>
      <c r="K111" s="53">
        <f t="shared" si="53"/>
        <v>473</v>
      </c>
      <c r="L111" s="53">
        <f t="shared" si="54"/>
        <v>473</v>
      </c>
      <c r="M111" s="53">
        <f t="shared" si="55"/>
        <v>473</v>
      </c>
      <c r="N111" s="56">
        <f t="shared" si="56"/>
        <v>473</v>
      </c>
      <c r="P111" s="53">
        <f t="shared" si="31"/>
        <v>10</v>
      </c>
      <c r="Q111" s="154">
        <f t="shared" si="24"/>
        <v>44057</v>
      </c>
      <c r="R111" s="154">
        <f t="shared" si="25"/>
      </c>
      <c r="T111" s="171">
        <f t="shared" si="26"/>
        <v>2037</v>
      </c>
      <c r="U111" s="53">
        <f aca="true" t="shared" si="57" ref="U111:U119">VLOOKUP(IF(YEAR($W95)=$T111,IF(MONTH($W95)&gt;U108-1,$T95,$T95+1),IF(YEAR($W95)&lt;$T111,$T95+1,$T95)),$AA$3:$AD$15,3,1)</f>
        <v>503</v>
      </c>
      <c r="V111" s="53">
        <f aca="true" t="shared" si="58" ref="V111:V119">VLOOKUP(IF(YEAR($W95)=$T111,IF(MONTH($W95)&gt;V108-1,$T95,$T95+1),IF(YEAR($W95)&lt;$T111,$T95+1,$T95)),$AA$3:$AD$15,3,1)</f>
        <v>503</v>
      </c>
      <c r="W111" s="53">
        <f aca="true" t="shared" si="59" ref="W111:W119">VLOOKUP(IF(YEAR($W95)=$T111,IF(MONTH($W95)&gt;W108-1,$T95,$T95+1),IF(YEAR($W95)&lt;$T111,$T95+1,$T95)),$AA$3:$AD$15,3,1)</f>
        <v>503</v>
      </c>
      <c r="X111" s="53">
        <f aca="true" t="shared" si="60" ref="X111:X119">VLOOKUP(IF(YEAR($W95)=$T111,IF(MONTH($W95)&gt;X108-1,$T95,$T95+1),IF(YEAR($W95)&lt;$T111,$T95+1,$T95)),$AA$3:$AD$15,3,1)</f>
        <v>503</v>
      </c>
      <c r="Y111" s="53">
        <f aca="true" t="shared" si="61" ref="Y111:Y119">VLOOKUP(IF(YEAR($W95)=$T111,IF(MONTH($W95)&gt;Y108-1,$T95,$T95+1),IF(YEAR($W95)&lt;$T111,$T95+1,$T95)),$AA$3:$AD$15,3,1)</f>
        <v>503</v>
      </c>
      <c r="Z111" s="53">
        <f aca="true" t="shared" si="62" ref="Z111:Z119">VLOOKUP(IF(YEAR($W95)=$T111,IF(MONTH($W95)&gt;Z108-1,$T95,$T95+1),IF(YEAR($W95)&lt;$T111,$T95+1,$T95)),$AA$3:$AD$15,3,1)</f>
        <v>503</v>
      </c>
      <c r="AA111" s="53">
        <f aca="true" t="shared" si="63" ref="AA111:AA119">VLOOKUP(IF(YEAR($W95)=$T111,IF(MONTH($W95)&gt;AA108-1,$T95,$T95+1),IF(YEAR($W95)&lt;$T111,$T95+1,$T95)),$AA$3:$AD$15,3,1)</f>
        <v>503</v>
      </c>
      <c r="AB111" s="53">
        <f aca="true" t="shared" si="64" ref="AB111:AB119">VLOOKUP(IF(YEAR($W95)=$T111,IF(MONTH($W95)&gt;AB108-1,$T95,$T95+1),IF(YEAR($W95)&lt;$T111,$T95+1,$T95)),$AA$3:$AD$15,3,1)</f>
        <v>503</v>
      </c>
      <c r="AC111" s="53">
        <f aca="true" t="shared" si="65" ref="AC111:AC119">VLOOKUP(IF(YEAR($W95)=$T111,IF(MONTH($W95)&gt;AC108-1,$T95,$T95+1),IF(YEAR($W95)&lt;$T111,$T95+1,$T95)),$AA$3:$AD$15,3,1)</f>
        <v>503</v>
      </c>
      <c r="AD111" s="53">
        <f aca="true" t="shared" si="66" ref="AD111:AD119">VLOOKUP(IF(YEAR($W95)=$T111,IF(MONTH($W95)&gt;AD108-1,$T95,$T95+1),IF(YEAR($W95)&lt;$T111,$T95+1,$T95)),$AA$3:$AD$15,3,1)</f>
        <v>503</v>
      </c>
      <c r="AE111" s="53">
        <f aca="true" t="shared" si="67" ref="AE111:AE119">VLOOKUP(IF(YEAR($W95)=$T111,IF(MONTH($W95)&gt;AE108-1,$T95,$T95+1),IF(YEAR($W95)&lt;$T111,$T95+1,$T95)),$AA$3:$AD$15,3,1)</f>
        <v>503</v>
      </c>
      <c r="AF111" s="56">
        <f aca="true" t="shared" si="68" ref="AF111:AF119">VLOOKUP(IF(YEAR($W95)=$T111,IF(MONTH($W95)&gt;AF108-1,$T95,$T95+1),IF(YEAR($W95)&lt;$T111,$T95+1,$T95)),$AA$3:$AD$15,3,1)</f>
        <v>503</v>
      </c>
      <c r="AH111" s="53">
        <f t="shared" si="44"/>
        <v>13</v>
      </c>
      <c r="AI111" s="154">
        <f t="shared" si="28"/>
        <v>46420</v>
      </c>
      <c r="AJ111" s="154">
        <f t="shared" si="29"/>
      </c>
    </row>
    <row r="112" spans="2:36" ht="12">
      <c r="B112" s="171">
        <f t="shared" si="22"/>
        <v>2038</v>
      </c>
      <c r="C112" s="53">
        <f t="shared" si="45"/>
        <v>473</v>
      </c>
      <c r="D112" s="53">
        <f t="shared" si="46"/>
        <v>473</v>
      </c>
      <c r="E112" s="53">
        <f t="shared" si="47"/>
        <v>473</v>
      </c>
      <c r="F112" s="53">
        <f t="shared" si="48"/>
        <v>473</v>
      </c>
      <c r="G112" s="53">
        <f t="shared" si="49"/>
        <v>473</v>
      </c>
      <c r="H112" s="53">
        <f t="shared" si="50"/>
        <v>473</v>
      </c>
      <c r="I112" s="53">
        <f t="shared" si="51"/>
        <v>473</v>
      </c>
      <c r="J112" s="53">
        <f t="shared" si="52"/>
        <v>473</v>
      </c>
      <c r="K112" s="53">
        <f t="shared" si="53"/>
        <v>473</v>
      </c>
      <c r="L112" s="53">
        <f t="shared" si="54"/>
        <v>473</v>
      </c>
      <c r="M112" s="53">
        <f t="shared" si="55"/>
        <v>473</v>
      </c>
      <c r="N112" s="56">
        <f t="shared" si="56"/>
        <v>473</v>
      </c>
      <c r="P112" s="53">
        <f t="shared" si="31"/>
        <v>10</v>
      </c>
      <c r="Q112" s="154">
        <f t="shared" si="24"/>
        <v>44057</v>
      </c>
      <c r="R112" s="154">
        <f t="shared" si="25"/>
      </c>
      <c r="T112" s="171">
        <f t="shared" si="26"/>
        <v>2038</v>
      </c>
      <c r="U112" s="53">
        <f t="shared" si="57"/>
        <v>503</v>
      </c>
      <c r="V112" s="53">
        <f t="shared" si="58"/>
        <v>503</v>
      </c>
      <c r="W112" s="53">
        <f t="shared" si="59"/>
        <v>503</v>
      </c>
      <c r="X112" s="53">
        <f t="shared" si="60"/>
        <v>503</v>
      </c>
      <c r="Y112" s="53">
        <f t="shared" si="61"/>
        <v>503</v>
      </c>
      <c r="Z112" s="53">
        <f t="shared" si="62"/>
        <v>503</v>
      </c>
      <c r="AA112" s="53">
        <f t="shared" si="63"/>
        <v>503</v>
      </c>
      <c r="AB112" s="53">
        <f t="shared" si="64"/>
        <v>503</v>
      </c>
      <c r="AC112" s="53">
        <f t="shared" si="65"/>
        <v>503</v>
      </c>
      <c r="AD112" s="53">
        <f t="shared" si="66"/>
        <v>503</v>
      </c>
      <c r="AE112" s="53">
        <f t="shared" si="67"/>
        <v>503</v>
      </c>
      <c r="AF112" s="56">
        <f t="shared" si="68"/>
        <v>503</v>
      </c>
      <c r="AH112" s="53">
        <f t="shared" si="44"/>
        <v>13</v>
      </c>
      <c r="AI112" s="154">
        <f t="shared" si="28"/>
        <v>46420</v>
      </c>
      <c r="AJ112" s="154">
        <f t="shared" si="29"/>
      </c>
    </row>
    <row r="113" spans="2:36" ht="12">
      <c r="B113" s="171">
        <f t="shared" si="22"/>
        <v>2039</v>
      </c>
      <c r="C113" s="53">
        <f t="shared" si="45"/>
        <v>473</v>
      </c>
      <c r="D113" s="53">
        <f t="shared" si="46"/>
        <v>473</v>
      </c>
      <c r="E113" s="53">
        <f t="shared" si="47"/>
        <v>473</v>
      </c>
      <c r="F113" s="53">
        <f t="shared" si="48"/>
        <v>473</v>
      </c>
      <c r="G113" s="53">
        <f t="shared" si="49"/>
        <v>473</v>
      </c>
      <c r="H113" s="53">
        <f t="shared" si="50"/>
        <v>473</v>
      </c>
      <c r="I113" s="53">
        <f t="shared" si="51"/>
        <v>473</v>
      </c>
      <c r="J113" s="53">
        <f t="shared" si="52"/>
        <v>473</v>
      </c>
      <c r="K113" s="53">
        <f t="shared" si="53"/>
        <v>473</v>
      </c>
      <c r="L113" s="53">
        <f t="shared" si="54"/>
        <v>473</v>
      </c>
      <c r="M113" s="53">
        <f t="shared" si="55"/>
        <v>473</v>
      </c>
      <c r="N113" s="56">
        <f t="shared" si="56"/>
        <v>473</v>
      </c>
      <c r="P113" s="53">
        <f t="shared" si="31"/>
        <v>10</v>
      </c>
      <c r="Q113" s="154">
        <f t="shared" si="24"/>
        <v>44057</v>
      </c>
      <c r="R113" s="154">
        <f t="shared" si="25"/>
      </c>
      <c r="T113" s="171">
        <f t="shared" si="26"/>
        <v>2039</v>
      </c>
      <c r="U113" s="53">
        <f t="shared" si="57"/>
        <v>503</v>
      </c>
      <c r="V113" s="53">
        <f t="shared" si="58"/>
        <v>503</v>
      </c>
      <c r="W113" s="53">
        <f t="shared" si="59"/>
        <v>503</v>
      </c>
      <c r="X113" s="53">
        <f t="shared" si="60"/>
        <v>503</v>
      </c>
      <c r="Y113" s="53">
        <f t="shared" si="61"/>
        <v>503</v>
      </c>
      <c r="Z113" s="53">
        <f t="shared" si="62"/>
        <v>503</v>
      </c>
      <c r="AA113" s="53">
        <f t="shared" si="63"/>
        <v>503</v>
      </c>
      <c r="AB113" s="53">
        <f t="shared" si="64"/>
        <v>503</v>
      </c>
      <c r="AC113" s="53">
        <f t="shared" si="65"/>
        <v>503</v>
      </c>
      <c r="AD113" s="53">
        <f t="shared" si="66"/>
        <v>503</v>
      </c>
      <c r="AE113" s="53">
        <f t="shared" si="67"/>
        <v>503</v>
      </c>
      <c r="AF113" s="56">
        <f t="shared" si="68"/>
        <v>503</v>
      </c>
      <c r="AH113" s="53">
        <f t="shared" si="44"/>
        <v>13</v>
      </c>
      <c r="AI113" s="154">
        <f t="shared" si="28"/>
        <v>46420</v>
      </c>
      <c r="AJ113" s="154">
        <f t="shared" si="29"/>
      </c>
    </row>
    <row r="114" spans="2:36" ht="12">
      <c r="B114" s="171">
        <f t="shared" si="22"/>
        <v>2040</v>
      </c>
      <c r="C114" s="53">
        <f t="shared" si="45"/>
        <v>473</v>
      </c>
      <c r="D114" s="53">
        <f t="shared" si="46"/>
        <v>473</v>
      </c>
      <c r="E114" s="53">
        <f t="shared" si="47"/>
        <v>473</v>
      </c>
      <c r="F114" s="53">
        <f t="shared" si="48"/>
        <v>473</v>
      </c>
      <c r="G114" s="53">
        <f t="shared" si="49"/>
        <v>473</v>
      </c>
      <c r="H114" s="53">
        <f t="shared" si="50"/>
        <v>473</v>
      </c>
      <c r="I114" s="53">
        <f t="shared" si="51"/>
        <v>473</v>
      </c>
      <c r="J114" s="53">
        <f t="shared" si="52"/>
        <v>473</v>
      </c>
      <c r="K114" s="53">
        <f t="shared" si="53"/>
        <v>473</v>
      </c>
      <c r="L114" s="53">
        <f t="shared" si="54"/>
        <v>473</v>
      </c>
      <c r="M114" s="53">
        <f t="shared" si="55"/>
        <v>473</v>
      </c>
      <c r="N114" s="56">
        <f t="shared" si="56"/>
        <v>473</v>
      </c>
      <c r="P114" s="53">
        <f t="shared" si="31"/>
        <v>10</v>
      </c>
      <c r="Q114" s="154">
        <f t="shared" si="24"/>
        <v>44057</v>
      </c>
      <c r="R114" s="154">
        <f t="shared" si="25"/>
      </c>
      <c r="T114" s="171">
        <f t="shared" si="26"/>
        <v>2040</v>
      </c>
      <c r="U114" s="53">
        <f t="shared" si="57"/>
        <v>503</v>
      </c>
      <c r="V114" s="53">
        <f t="shared" si="58"/>
        <v>503</v>
      </c>
      <c r="W114" s="53">
        <f t="shared" si="59"/>
        <v>503</v>
      </c>
      <c r="X114" s="53">
        <f t="shared" si="60"/>
        <v>503</v>
      </c>
      <c r="Y114" s="53">
        <f t="shared" si="61"/>
        <v>503</v>
      </c>
      <c r="Z114" s="53">
        <f t="shared" si="62"/>
        <v>503</v>
      </c>
      <c r="AA114" s="53">
        <f t="shared" si="63"/>
        <v>503</v>
      </c>
      <c r="AB114" s="53">
        <f t="shared" si="64"/>
        <v>503</v>
      </c>
      <c r="AC114" s="53">
        <f t="shared" si="65"/>
        <v>503</v>
      </c>
      <c r="AD114" s="53">
        <f t="shared" si="66"/>
        <v>503</v>
      </c>
      <c r="AE114" s="53">
        <f t="shared" si="67"/>
        <v>503</v>
      </c>
      <c r="AF114" s="56">
        <f t="shared" si="68"/>
        <v>503</v>
      </c>
      <c r="AH114" s="53">
        <f t="shared" si="44"/>
        <v>13</v>
      </c>
      <c r="AI114" s="154">
        <f t="shared" si="28"/>
        <v>46420</v>
      </c>
      <c r="AJ114" s="154">
        <f t="shared" si="29"/>
      </c>
    </row>
    <row r="115" spans="2:36" ht="12">
      <c r="B115" s="171">
        <f t="shared" si="22"/>
        <v>2041</v>
      </c>
      <c r="C115" s="53">
        <f t="shared" si="45"/>
        <v>473</v>
      </c>
      <c r="D115" s="53">
        <f t="shared" si="46"/>
        <v>473</v>
      </c>
      <c r="E115" s="53">
        <f t="shared" si="47"/>
        <v>473</v>
      </c>
      <c r="F115" s="53">
        <f t="shared" si="48"/>
        <v>473</v>
      </c>
      <c r="G115" s="53">
        <f t="shared" si="49"/>
        <v>473</v>
      </c>
      <c r="H115" s="53">
        <f t="shared" si="50"/>
        <v>473</v>
      </c>
      <c r="I115" s="53">
        <f t="shared" si="51"/>
        <v>473</v>
      </c>
      <c r="J115" s="53">
        <f t="shared" si="52"/>
        <v>473</v>
      </c>
      <c r="K115" s="53">
        <f t="shared" si="53"/>
        <v>473</v>
      </c>
      <c r="L115" s="53">
        <f t="shared" si="54"/>
        <v>473</v>
      </c>
      <c r="M115" s="53">
        <f t="shared" si="55"/>
        <v>473</v>
      </c>
      <c r="N115" s="56">
        <f t="shared" si="56"/>
        <v>473</v>
      </c>
      <c r="P115" s="53">
        <f t="shared" si="31"/>
        <v>10</v>
      </c>
      <c r="Q115" s="154">
        <f t="shared" si="24"/>
        <v>44057</v>
      </c>
      <c r="R115" s="154">
        <f t="shared" si="25"/>
      </c>
      <c r="T115" s="171">
        <f t="shared" si="26"/>
        <v>2041</v>
      </c>
      <c r="U115" s="53">
        <f t="shared" si="57"/>
        <v>503</v>
      </c>
      <c r="V115" s="53">
        <f t="shared" si="58"/>
        <v>503</v>
      </c>
      <c r="W115" s="53">
        <f t="shared" si="59"/>
        <v>503</v>
      </c>
      <c r="X115" s="53">
        <f t="shared" si="60"/>
        <v>503</v>
      </c>
      <c r="Y115" s="53">
        <f t="shared" si="61"/>
        <v>503</v>
      </c>
      <c r="Z115" s="53">
        <f t="shared" si="62"/>
        <v>503</v>
      </c>
      <c r="AA115" s="53">
        <f t="shared" si="63"/>
        <v>503</v>
      </c>
      <c r="AB115" s="53">
        <f t="shared" si="64"/>
        <v>503</v>
      </c>
      <c r="AC115" s="53">
        <f t="shared" si="65"/>
        <v>503</v>
      </c>
      <c r="AD115" s="53">
        <f t="shared" si="66"/>
        <v>503</v>
      </c>
      <c r="AE115" s="53">
        <f t="shared" si="67"/>
        <v>503</v>
      </c>
      <c r="AF115" s="56">
        <f t="shared" si="68"/>
        <v>503</v>
      </c>
      <c r="AH115" s="53">
        <f t="shared" si="44"/>
        <v>13</v>
      </c>
      <c r="AI115" s="154">
        <f t="shared" si="28"/>
        <v>46420</v>
      </c>
      <c r="AJ115" s="154">
        <f t="shared" si="29"/>
      </c>
    </row>
    <row r="116" spans="2:36" ht="12">
      <c r="B116" s="171">
        <f t="shared" si="22"/>
        <v>2042</v>
      </c>
      <c r="C116" s="53">
        <f t="shared" si="45"/>
        <v>473</v>
      </c>
      <c r="D116" s="53">
        <f t="shared" si="46"/>
        <v>473</v>
      </c>
      <c r="E116" s="53">
        <f t="shared" si="47"/>
        <v>473</v>
      </c>
      <c r="F116" s="53">
        <f t="shared" si="48"/>
        <v>473</v>
      </c>
      <c r="G116" s="53">
        <f t="shared" si="49"/>
        <v>473</v>
      </c>
      <c r="H116" s="53">
        <f t="shared" si="50"/>
        <v>473</v>
      </c>
      <c r="I116" s="53">
        <f t="shared" si="51"/>
        <v>473</v>
      </c>
      <c r="J116" s="53">
        <f t="shared" si="52"/>
        <v>473</v>
      </c>
      <c r="K116" s="53">
        <f t="shared" si="53"/>
        <v>473</v>
      </c>
      <c r="L116" s="53">
        <f t="shared" si="54"/>
        <v>473</v>
      </c>
      <c r="M116" s="53">
        <f t="shared" si="55"/>
        <v>473</v>
      </c>
      <c r="N116" s="56">
        <f t="shared" si="56"/>
        <v>473</v>
      </c>
      <c r="P116" s="53">
        <f t="shared" si="31"/>
        <v>10</v>
      </c>
      <c r="Q116" s="154">
        <f t="shared" si="24"/>
        <v>44057</v>
      </c>
      <c r="R116" s="154">
        <f t="shared" si="25"/>
      </c>
      <c r="T116" s="171">
        <f t="shared" si="26"/>
        <v>2042</v>
      </c>
      <c r="U116" s="53">
        <f t="shared" si="57"/>
        <v>503</v>
      </c>
      <c r="V116" s="53">
        <f t="shared" si="58"/>
        <v>503</v>
      </c>
      <c r="W116" s="53">
        <f t="shared" si="59"/>
        <v>503</v>
      </c>
      <c r="X116" s="53">
        <f t="shared" si="60"/>
        <v>503</v>
      </c>
      <c r="Y116" s="53">
        <f t="shared" si="61"/>
        <v>503</v>
      </c>
      <c r="Z116" s="53">
        <f t="shared" si="62"/>
        <v>503</v>
      </c>
      <c r="AA116" s="53">
        <f t="shared" si="63"/>
        <v>503</v>
      </c>
      <c r="AB116" s="53">
        <f t="shared" si="64"/>
        <v>503</v>
      </c>
      <c r="AC116" s="53">
        <f t="shared" si="65"/>
        <v>503</v>
      </c>
      <c r="AD116" s="53">
        <f t="shared" si="66"/>
        <v>503</v>
      </c>
      <c r="AE116" s="53">
        <f t="shared" si="67"/>
        <v>503</v>
      </c>
      <c r="AF116" s="56">
        <f t="shared" si="68"/>
        <v>503</v>
      </c>
      <c r="AH116" s="53">
        <f t="shared" si="44"/>
        <v>13</v>
      </c>
      <c r="AI116" s="154">
        <f t="shared" si="28"/>
        <v>46420</v>
      </c>
      <c r="AJ116" s="154">
        <f t="shared" si="29"/>
      </c>
    </row>
    <row r="117" spans="2:36" ht="12">
      <c r="B117" s="171">
        <f t="shared" si="22"/>
        <v>2043</v>
      </c>
      <c r="C117" s="53">
        <f t="shared" si="45"/>
        <v>473</v>
      </c>
      <c r="D117" s="53">
        <f t="shared" si="46"/>
        <v>473</v>
      </c>
      <c r="E117" s="53">
        <f t="shared" si="47"/>
        <v>473</v>
      </c>
      <c r="F117" s="53">
        <f t="shared" si="48"/>
        <v>473</v>
      </c>
      <c r="G117" s="53">
        <f t="shared" si="49"/>
        <v>473</v>
      </c>
      <c r="H117" s="53">
        <f t="shared" si="50"/>
        <v>473</v>
      </c>
      <c r="I117" s="53">
        <f t="shared" si="51"/>
        <v>473</v>
      </c>
      <c r="J117" s="53">
        <f t="shared" si="52"/>
        <v>473</v>
      </c>
      <c r="K117" s="53">
        <f t="shared" si="53"/>
        <v>473</v>
      </c>
      <c r="L117" s="53">
        <f t="shared" si="54"/>
        <v>473</v>
      </c>
      <c r="M117" s="53">
        <f t="shared" si="55"/>
        <v>473</v>
      </c>
      <c r="N117" s="56">
        <f t="shared" si="56"/>
        <v>473</v>
      </c>
      <c r="P117" s="53">
        <f t="shared" si="31"/>
        <v>10</v>
      </c>
      <c r="Q117" s="154">
        <f t="shared" si="24"/>
        <v>44057</v>
      </c>
      <c r="R117" s="154">
        <f t="shared" si="25"/>
      </c>
      <c r="T117" s="171">
        <f t="shared" si="26"/>
        <v>2043</v>
      </c>
      <c r="U117" s="53">
        <f t="shared" si="57"/>
        <v>503</v>
      </c>
      <c r="V117" s="53">
        <f t="shared" si="58"/>
        <v>503</v>
      </c>
      <c r="W117" s="53">
        <f t="shared" si="59"/>
        <v>503</v>
      </c>
      <c r="X117" s="53">
        <f t="shared" si="60"/>
        <v>503</v>
      </c>
      <c r="Y117" s="53">
        <f t="shared" si="61"/>
        <v>503</v>
      </c>
      <c r="Z117" s="53">
        <f t="shared" si="62"/>
        <v>503</v>
      </c>
      <c r="AA117" s="53">
        <f t="shared" si="63"/>
        <v>503</v>
      </c>
      <c r="AB117" s="53">
        <f t="shared" si="64"/>
        <v>503</v>
      </c>
      <c r="AC117" s="53">
        <f t="shared" si="65"/>
        <v>503</v>
      </c>
      <c r="AD117" s="53">
        <f t="shared" si="66"/>
        <v>503</v>
      </c>
      <c r="AE117" s="53">
        <f t="shared" si="67"/>
        <v>503</v>
      </c>
      <c r="AF117" s="56">
        <f t="shared" si="68"/>
        <v>503</v>
      </c>
      <c r="AH117" s="53">
        <f t="shared" si="44"/>
        <v>13</v>
      </c>
      <c r="AI117" s="154">
        <f t="shared" si="28"/>
        <v>46420</v>
      </c>
      <c r="AJ117" s="154">
        <f t="shared" si="29"/>
      </c>
    </row>
    <row r="118" spans="2:36" ht="12">
      <c r="B118" s="171">
        <f t="shared" si="22"/>
        <v>2044</v>
      </c>
      <c r="C118" s="53">
        <f t="shared" si="45"/>
        <v>473</v>
      </c>
      <c r="D118" s="53">
        <f t="shared" si="46"/>
        <v>473</v>
      </c>
      <c r="E118" s="53">
        <f t="shared" si="47"/>
        <v>473</v>
      </c>
      <c r="F118" s="53">
        <f t="shared" si="48"/>
        <v>473</v>
      </c>
      <c r="G118" s="53">
        <f t="shared" si="49"/>
        <v>473</v>
      </c>
      <c r="H118" s="53">
        <f t="shared" si="50"/>
        <v>473</v>
      </c>
      <c r="I118" s="53">
        <f t="shared" si="51"/>
        <v>473</v>
      </c>
      <c r="J118" s="53">
        <f t="shared" si="52"/>
        <v>473</v>
      </c>
      <c r="K118" s="53">
        <f t="shared" si="53"/>
        <v>473</v>
      </c>
      <c r="L118" s="53">
        <f t="shared" si="54"/>
        <v>473</v>
      </c>
      <c r="M118" s="53">
        <f t="shared" si="55"/>
        <v>473</v>
      </c>
      <c r="N118" s="56">
        <f t="shared" si="56"/>
        <v>473</v>
      </c>
      <c r="P118" s="53">
        <f t="shared" si="31"/>
        <v>10</v>
      </c>
      <c r="Q118" s="154">
        <f t="shared" si="24"/>
        <v>44057</v>
      </c>
      <c r="R118" s="154">
        <f t="shared" si="25"/>
      </c>
      <c r="T118" s="171">
        <f t="shared" si="26"/>
        <v>2044</v>
      </c>
      <c r="U118" s="53">
        <f t="shared" si="57"/>
        <v>503</v>
      </c>
      <c r="V118" s="53">
        <f t="shared" si="58"/>
        <v>503</v>
      </c>
      <c r="W118" s="53">
        <f t="shared" si="59"/>
        <v>503</v>
      </c>
      <c r="X118" s="53">
        <f t="shared" si="60"/>
        <v>503</v>
      </c>
      <c r="Y118" s="53">
        <f t="shared" si="61"/>
        <v>503</v>
      </c>
      <c r="Z118" s="53">
        <f t="shared" si="62"/>
        <v>503</v>
      </c>
      <c r="AA118" s="53">
        <f t="shared" si="63"/>
        <v>503</v>
      </c>
      <c r="AB118" s="53">
        <f t="shared" si="64"/>
        <v>503</v>
      </c>
      <c r="AC118" s="53">
        <f t="shared" si="65"/>
        <v>503</v>
      </c>
      <c r="AD118" s="53">
        <f t="shared" si="66"/>
        <v>503</v>
      </c>
      <c r="AE118" s="53">
        <f t="shared" si="67"/>
        <v>503</v>
      </c>
      <c r="AF118" s="56">
        <f t="shared" si="68"/>
        <v>503</v>
      </c>
      <c r="AH118" s="53">
        <f t="shared" si="44"/>
        <v>13</v>
      </c>
      <c r="AI118" s="154">
        <f t="shared" si="28"/>
        <v>46420</v>
      </c>
      <c r="AJ118" s="154">
        <f t="shared" si="29"/>
      </c>
    </row>
    <row r="119" spans="2:36" ht="12">
      <c r="B119" s="172">
        <f t="shared" si="22"/>
        <v>2045</v>
      </c>
      <c r="C119" s="63">
        <f t="shared" si="45"/>
        <v>473</v>
      </c>
      <c r="D119" s="63">
        <f t="shared" si="46"/>
        <v>473</v>
      </c>
      <c r="E119" s="63">
        <f t="shared" si="47"/>
        <v>473</v>
      </c>
      <c r="F119" s="63">
        <f t="shared" si="48"/>
        <v>473</v>
      </c>
      <c r="G119" s="63">
        <f t="shared" si="49"/>
        <v>473</v>
      </c>
      <c r="H119" s="63">
        <f t="shared" si="50"/>
        <v>473</v>
      </c>
      <c r="I119" s="63">
        <f t="shared" si="51"/>
        <v>473</v>
      </c>
      <c r="J119" s="63">
        <f t="shared" si="52"/>
        <v>473</v>
      </c>
      <c r="K119" s="63">
        <f t="shared" si="53"/>
        <v>473</v>
      </c>
      <c r="L119" s="63">
        <f t="shared" si="54"/>
        <v>473</v>
      </c>
      <c r="M119" s="63">
        <f t="shared" si="55"/>
        <v>473</v>
      </c>
      <c r="N119" s="67">
        <f t="shared" si="56"/>
        <v>473</v>
      </c>
      <c r="P119" s="53">
        <f t="shared" si="31"/>
        <v>10</v>
      </c>
      <c r="Q119" s="154">
        <f t="shared" si="24"/>
        <v>44057</v>
      </c>
      <c r="R119" s="154">
        <f t="shared" si="25"/>
      </c>
      <c r="T119" s="172">
        <f t="shared" si="26"/>
        <v>2045</v>
      </c>
      <c r="U119" s="63">
        <f t="shared" si="57"/>
        <v>503</v>
      </c>
      <c r="V119" s="63">
        <f t="shared" si="58"/>
        <v>503</v>
      </c>
      <c r="W119" s="63">
        <f t="shared" si="59"/>
        <v>503</v>
      </c>
      <c r="X119" s="63">
        <f t="shared" si="60"/>
        <v>503</v>
      </c>
      <c r="Y119" s="63">
        <f t="shared" si="61"/>
        <v>503</v>
      </c>
      <c r="Z119" s="63">
        <f t="shared" si="62"/>
        <v>503</v>
      </c>
      <c r="AA119" s="63">
        <f t="shared" si="63"/>
        <v>503</v>
      </c>
      <c r="AB119" s="63">
        <f t="shared" si="64"/>
        <v>503</v>
      </c>
      <c r="AC119" s="63">
        <f t="shared" si="65"/>
        <v>503</v>
      </c>
      <c r="AD119" s="63">
        <f t="shared" si="66"/>
        <v>503</v>
      </c>
      <c r="AE119" s="63">
        <f t="shared" si="67"/>
        <v>503</v>
      </c>
      <c r="AF119" s="67">
        <f t="shared" si="68"/>
        <v>503</v>
      </c>
      <c r="AH119" s="53">
        <f t="shared" si="44"/>
        <v>13</v>
      </c>
      <c r="AI119" s="154">
        <f t="shared" si="28"/>
        <v>46420</v>
      </c>
      <c r="AJ119" s="154">
        <f t="shared" si="29"/>
      </c>
    </row>
  </sheetData>
  <sheetProtection password="EEF6" sheet="1" objects="1" scenarios="1"/>
  <mergeCells count="22">
    <mergeCell ref="P89:R89"/>
    <mergeCell ref="AH89:AJ89"/>
    <mergeCell ref="F74:I74"/>
    <mergeCell ref="X74:AA74"/>
    <mergeCell ref="P88:R88"/>
    <mergeCell ref="AH88:AJ88"/>
    <mergeCell ref="B67:G67"/>
    <mergeCell ref="T67:Y67"/>
    <mergeCell ref="B73:I73"/>
    <mergeCell ref="T73:AB73"/>
    <mergeCell ref="A36:N36"/>
    <mergeCell ref="S36:AF36"/>
    <mergeCell ref="B66:H66"/>
    <mergeCell ref="T66:Z66"/>
    <mergeCell ref="AA1:AD1"/>
    <mergeCell ref="A11:D11"/>
    <mergeCell ref="H18:K18"/>
    <mergeCell ref="M18:P18"/>
    <mergeCell ref="V18:Y18"/>
    <mergeCell ref="H1:K1"/>
    <mergeCell ref="M1:P1"/>
    <mergeCell ref="V1:Y1"/>
  </mergeCells>
  <dataValidations count="4">
    <dataValidation type="whole" allowBlank="1" showErrorMessage="1" sqref="D17">
      <formula1>0</formula1>
      <formula2>29</formula2>
    </dataValidation>
    <dataValidation type="whole" allowBlank="1" showErrorMessage="1" sqref="C17">
      <formula1>0</formula1>
      <formula2>11</formula2>
    </dataValidation>
    <dataValidation type="whole" operator="greaterThanOrEqual" allowBlank="1" showErrorMessage="1" sqref="B13:B14 B17">
      <formula1>1</formula1>
    </dataValidation>
    <dataValidation type="list" operator="equal" allowBlank="1" showErrorMessage="1" sqref="B6:B10">
      <formula1>"3,4,5,6"</formula1>
    </dataValidation>
  </dataValidations>
  <printOptions/>
  <pageMargins left="0.7479166666666667" right="0.7479166666666667" top="0.9840277777777777" bottom="0.9840277777777777" header="0.5118055555555555" footer="0.5118055555555555"/>
  <pageSetup fitToHeight="0" fitToWidth="1" horizontalDpi="300" verticalDpi="300" orientation="landscape" paperSize="8" scale="49"/>
</worksheet>
</file>

<file path=xl/worksheets/sheet7.xml><?xml version="1.0" encoding="utf-8"?>
<worksheet xmlns="http://schemas.openxmlformats.org/spreadsheetml/2006/main" xmlns:r="http://schemas.openxmlformats.org/officeDocument/2006/relationships">
  <dimension ref="A1:W93"/>
  <sheetViews>
    <sheetView workbookViewId="0" topLeftCell="J1">
      <selection activeCell="L14" sqref="L14"/>
    </sheetView>
  </sheetViews>
  <sheetFormatPr defaultColWidth="11.57421875" defaultRowHeight="12.75"/>
  <cols>
    <col min="1" max="1" width="59.28125" style="0" customWidth="1"/>
    <col min="2" max="4" width="11.421875" style="0" customWidth="1"/>
    <col min="5" max="5" width="18.8515625" style="0" customWidth="1"/>
    <col min="6" max="10" width="11.421875" style="0" customWidth="1"/>
    <col min="11" max="12" width="11.28125" style="0" customWidth="1"/>
    <col min="13" max="16384" width="11.421875" style="0" customWidth="1"/>
  </cols>
  <sheetData>
    <row r="1" spans="1:23" ht="12.75">
      <c r="A1" s="226" t="s">
        <v>18</v>
      </c>
      <c r="B1" s="227">
        <f>'déroulé en C et en B'!B6</f>
        <v>6</v>
      </c>
      <c r="J1" s="268" t="str">
        <f>HYPERLINK("http://www.legifrance.gouv.fr/affichTexte.do?cidTexte=JORFTEXT000021262538","Application de l'article 13 du Décret n°2009-1388 pour le classement dans le premier grade")</f>
        <v>Application de l'article 13 du Décret n°2009-1388 pour le classement dans le premier grade</v>
      </c>
      <c r="K1" s="2"/>
      <c r="L1" s="2"/>
      <c r="M1" s="2"/>
      <c r="N1" s="2"/>
      <c r="O1" s="2"/>
      <c r="P1" s="2"/>
      <c r="U1" s="2"/>
      <c r="V1" s="3" t="str">
        <f>HYPERLINK("http://www.legifrance.gouv.fr/affichTexte.do?cidTexte=JORFTEXT000021262538","Article 24 du Décret n° 2009-1338")</f>
        <v>Article 24 du Décret n° 2009-1338</v>
      </c>
      <c r="W1" s="4"/>
    </row>
    <row r="2" spans="1:23" ht="12.75">
      <c r="A2" s="12" t="str">
        <f>"ÉCHELON détenu en tant que cat. C Échelle "&amp;B1</f>
        <v>ÉCHELON détenu en tant que cat. C Échelle 6</v>
      </c>
      <c r="B2" s="13">
        <f>'déroulé en C et en B'!B13</f>
        <v>7</v>
      </c>
      <c r="C2" s="230"/>
      <c r="U2" s="2"/>
      <c r="V2" s="5" t="s">
        <v>0</v>
      </c>
      <c r="W2" s="4"/>
    </row>
    <row r="3" spans="1:23" ht="12.75" customHeight="1">
      <c r="A3" s="12" t="s">
        <v>20</v>
      </c>
      <c r="B3" s="14">
        <f>'déroulé en C et en B'!B14</f>
        <v>41671</v>
      </c>
      <c r="C3" t="s">
        <v>106</v>
      </c>
      <c r="D3" s="71">
        <f>B3</f>
        <v>41671</v>
      </c>
      <c r="E3" t="s">
        <v>107</v>
      </c>
      <c r="F3">
        <f>YEAR(B3)</f>
        <v>2014</v>
      </c>
      <c r="J3" s="451" t="s">
        <v>3</v>
      </c>
      <c r="K3" s="451"/>
      <c r="L3" s="451"/>
      <c r="M3" s="451"/>
      <c r="N3" s="451"/>
      <c r="O3" s="451"/>
      <c r="P3" s="451"/>
      <c r="Q3" s="451"/>
      <c r="R3" s="451"/>
      <c r="U3" s="8"/>
      <c r="V3" s="8"/>
      <c r="W3" s="8"/>
    </row>
    <row r="4" spans="1:23" ht="12.75">
      <c r="A4" s="15"/>
      <c r="B4" s="16" t="s">
        <v>21</v>
      </c>
      <c r="C4" s="16" t="s">
        <v>22</v>
      </c>
      <c r="D4" s="16" t="s">
        <v>23</v>
      </c>
      <c r="J4" s="451"/>
      <c r="K4" s="451"/>
      <c r="L4" s="451"/>
      <c r="M4" s="451"/>
      <c r="N4" s="451"/>
      <c r="O4" s="451"/>
      <c r="P4" s="451"/>
      <c r="Q4" s="451"/>
      <c r="R4" s="451"/>
      <c r="U4" s="452" t="s">
        <v>5</v>
      </c>
      <c r="V4" s="452"/>
      <c r="W4" s="452"/>
    </row>
    <row r="5" spans="1:23" ht="12.75">
      <c r="A5" s="12" t="str">
        <f>"Reliquat d’ancienneté détenu au "&amp;DAY(B3)&amp;"/"&amp;MONTH(B3)&amp;"/"&amp;YEAR(B3)</f>
        <v>Reliquat d’ancienneté détenu au 1/2/2014</v>
      </c>
      <c r="B5" s="13">
        <f>'déroulé en C et en B'!B17</f>
        <v>0</v>
      </c>
      <c r="C5" s="13">
        <f>'déroulé en C et en B'!C17</f>
        <v>0</v>
      </c>
      <c r="D5" s="13">
        <f>'déroulé en C et en B'!D17</f>
        <v>0</v>
      </c>
      <c r="E5">
        <f>(B5*360)+(30*C5)+D5</f>
        <v>0</v>
      </c>
      <c r="F5" s="17" t="s">
        <v>108</v>
      </c>
      <c r="G5" s="71"/>
      <c r="V5" s="8" t="s">
        <v>7</v>
      </c>
      <c r="W5" s="8" t="s">
        <v>8</v>
      </c>
    </row>
    <row r="6" spans="1:23" ht="12.75">
      <c r="A6" s="15" t="s">
        <v>115</v>
      </c>
      <c r="B6">
        <f>VLOOKUP(B2,J41:M49,4,1)</f>
        <v>4</v>
      </c>
      <c r="E6">
        <f>365*B6</f>
        <v>1460</v>
      </c>
      <c r="F6" t="s">
        <v>108</v>
      </c>
      <c r="J6" t="s">
        <v>9</v>
      </c>
      <c r="K6" t="s">
        <v>10</v>
      </c>
      <c r="L6" t="s">
        <v>11</v>
      </c>
      <c r="U6" s="8" t="s">
        <v>105</v>
      </c>
      <c r="V6" s="8"/>
      <c r="W6" s="8"/>
    </row>
    <row r="7" spans="1:23" ht="12.75">
      <c r="A7" t="s">
        <v>143</v>
      </c>
      <c r="B7" s="93">
        <f>1+B3+E6-E5</f>
        <v>43132</v>
      </c>
      <c r="C7" s="71"/>
      <c r="D7" s="93">
        <f>B7</f>
        <v>43132</v>
      </c>
      <c r="E7" s="143">
        <v>42461</v>
      </c>
      <c r="L7" t="s">
        <v>13</v>
      </c>
      <c r="M7" t="s">
        <v>14</v>
      </c>
      <c r="N7" t="s">
        <v>15</v>
      </c>
      <c r="O7" t="s">
        <v>16</v>
      </c>
      <c r="U7" s="8">
        <v>1</v>
      </c>
      <c r="V7" s="8">
        <v>12</v>
      </c>
      <c r="W7" s="8" t="s">
        <v>17</v>
      </c>
    </row>
    <row r="8" spans="10:23" ht="12.75">
      <c r="J8">
        <v>1</v>
      </c>
      <c r="K8">
        <v>5</v>
      </c>
      <c r="L8" s="11">
        <v>1</v>
      </c>
      <c r="M8">
        <v>0</v>
      </c>
      <c r="N8">
        <v>2</v>
      </c>
      <c r="O8">
        <f>VLOOKUP(K8,$U$33:$V$45,2,1)</f>
        <v>24</v>
      </c>
      <c r="U8" s="8">
        <v>2</v>
      </c>
      <c r="V8" s="8">
        <v>24</v>
      </c>
      <c r="W8" s="8" t="s">
        <v>19</v>
      </c>
    </row>
    <row r="9" spans="1:23" ht="12.75">
      <c r="A9" s="60" t="s">
        <v>171</v>
      </c>
      <c r="B9" s="229" t="str">
        <f>IF(B7&gt;B70,IF(D7&lt;E7,"OUI","NON"),"NON")</f>
        <v>NON</v>
      </c>
      <c r="J9">
        <v>2</v>
      </c>
      <c r="K9">
        <v>5</v>
      </c>
      <c r="L9" s="11">
        <v>1</v>
      </c>
      <c r="M9">
        <v>1</v>
      </c>
      <c r="N9">
        <v>2</v>
      </c>
      <c r="O9">
        <f aca="true" t="shared" si="0" ref="O9:O16">VLOOKUP(K9,$U$33:$V$45,2,1)</f>
        <v>24</v>
      </c>
      <c r="U9" s="8">
        <v>3</v>
      </c>
      <c r="V9" s="8">
        <v>24</v>
      </c>
      <c r="W9" s="8" t="s">
        <v>19</v>
      </c>
    </row>
    <row r="10" spans="1:23" ht="12.75">
      <c r="A10" t="s">
        <v>137</v>
      </c>
      <c r="B10" t="e">
        <f>IF(YEAR(F10)=2015,B2+1,"")</f>
        <v>#VALUE!</v>
      </c>
      <c r="E10" t="s">
        <v>168</v>
      </c>
      <c r="F10" s="143" t="e">
        <f>D7-B12</f>
        <v>#VALUE!</v>
      </c>
      <c r="J10">
        <v>3</v>
      </c>
      <c r="K10">
        <v>6</v>
      </c>
      <c r="L10" s="11">
        <v>1</v>
      </c>
      <c r="M10">
        <v>0</v>
      </c>
      <c r="N10">
        <v>2</v>
      </c>
      <c r="O10">
        <f t="shared" si="0"/>
        <v>24</v>
      </c>
      <c r="U10" s="8">
        <v>4</v>
      </c>
      <c r="V10" s="8">
        <v>24</v>
      </c>
      <c r="W10" s="8" t="s">
        <v>19</v>
      </c>
    </row>
    <row r="11" spans="1:23" ht="12.75">
      <c r="A11" t="s">
        <v>136</v>
      </c>
      <c r="B11" s="117" t="e">
        <f>IF(YEAR(F10)=2015,F10,B3)</f>
        <v>#VALUE!</v>
      </c>
      <c r="D11" s="117" t="e">
        <f>B11</f>
        <v>#VALUE!</v>
      </c>
      <c r="E11" t="s">
        <v>169</v>
      </c>
      <c r="F11" s="143" t="e">
        <f>F10-(E5+E6)</f>
        <v>#VALUE!</v>
      </c>
      <c r="J11">
        <v>4</v>
      </c>
      <c r="K11">
        <v>7</v>
      </c>
      <c r="L11" s="11">
        <v>1</v>
      </c>
      <c r="M11">
        <v>0</v>
      </c>
      <c r="N11">
        <v>2</v>
      </c>
      <c r="O11">
        <f t="shared" si="0"/>
        <v>24</v>
      </c>
      <c r="U11" s="8">
        <v>5</v>
      </c>
      <c r="V11" s="8">
        <v>24</v>
      </c>
      <c r="W11" s="8" t="s">
        <v>19</v>
      </c>
    </row>
    <row r="12" spans="1:23" ht="12.75">
      <c r="A12" t="s">
        <v>170</v>
      </c>
      <c r="B12">
        <f>IF(B9="OUI",IF($F$3=2014,60,IF($F$3=2013,90,IF($F$3=2012,120,IF($F$3=2015,30,IF($F$3=2011,150,IF($F$3=2010,180,IF($F$3=2016,0,"date effet antérieure à 2010?"))))))),"")</f>
      </c>
      <c r="J12">
        <v>5</v>
      </c>
      <c r="K12">
        <v>8</v>
      </c>
      <c r="L12" s="11">
        <v>1</v>
      </c>
      <c r="M12">
        <v>0</v>
      </c>
      <c r="N12">
        <v>3</v>
      </c>
      <c r="O12">
        <f t="shared" si="0"/>
        <v>36</v>
      </c>
      <c r="U12" s="8">
        <v>6</v>
      </c>
      <c r="V12" s="8">
        <v>24</v>
      </c>
      <c r="W12" s="8" t="s">
        <v>19</v>
      </c>
    </row>
    <row r="13" spans="2:23" ht="12.75">
      <c r="B13" s="16" t="s">
        <v>21</v>
      </c>
      <c r="C13" s="16" t="s">
        <v>22</v>
      </c>
      <c r="D13" s="16" t="s">
        <v>23</v>
      </c>
      <c r="J13">
        <v>6</v>
      </c>
      <c r="K13">
        <v>9</v>
      </c>
      <c r="L13" s="11">
        <v>1</v>
      </c>
      <c r="M13">
        <v>0</v>
      </c>
      <c r="N13">
        <v>3</v>
      </c>
      <c r="O13">
        <f t="shared" si="0"/>
        <v>36</v>
      </c>
      <c r="U13" s="8">
        <v>7</v>
      </c>
      <c r="V13" s="8">
        <v>36</v>
      </c>
      <c r="W13" s="8" t="s">
        <v>24</v>
      </c>
    </row>
    <row r="14" spans="1:23" ht="12.75">
      <c r="A14" t="str">
        <f>IF(B9="NON","Nouveau Reliquat d’ancienneté","Reliquat d’ancienneté détenu au "&amp;DAY(B11)&amp;"/"&amp;MONTH(B11)&amp;"/"&amp;YEAR(B11))</f>
        <v>Nouveau Reliquat d’ancienneté</v>
      </c>
      <c r="B14" s="228">
        <f>IF(B9="OUI",0,"")</f>
      </c>
      <c r="C14" s="228">
        <f>IF(B9="OUI",0,"")</f>
      </c>
      <c r="D14" s="228">
        <f>IF(B9="OUI",0,"")</f>
      </c>
      <c r="E14" t="e">
        <f>(B14*360)+(30*C14)+D14</f>
        <v>#VALUE!</v>
      </c>
      <c r="J14">
        <v>7</v>
      </c>
      <c r="K14">
        <v>10</v>
      </c>
      <c r="L14" s="11">
        <v>1</v>
      </c>
      <c r="M14">
        <v>0</v>
      </c>
      <c r="N14">
        <v>4</v>
      </c>
      <c r="O14">
        <f t="shared" si="0"/>
        <v>48</v>
      </c>
      <c r="U14" s="8">
        <v>8</v>
      </c>
      <c r="V14" s="8">
        <v>36</v>
      </c>
      <c r="W14" s="8" t="s">
        <v>24</v>
      </c>
    </row>
    <row r="15" spans="1:23" ht="12.75">
      <c r="A15" t="s">
        <v>141</v>
      </c>
      <c r="J15">
        <v>8</v>
      </c>
      <c r="K15">
        <v>11</v>
      </c>
      <c r="L15" s="11">
        <v>1</v>
      </c>
      <c r="M15">
        <v>0</v>
      </c>
      <c r="N15">
        <v>4</v>
      </c>
      <c r="O15">
        <f t="shared" si="0"/>
        <v>48</v>
      </c>
      <c r="U15" s="8">
        <v>9</v>
      </c>
      <c r="V15" s="8">
        <v>36</v>
      </c>
      <c r="W15" s="8" t="s">
        <v>24</v>
      </c>
    </row>
    <row r="16" spans="1:23" ht="12.75">
      <c r="A16" t="s">
        <v>145</v>
      </c>
      <c r="J16">
        <v>9</v>
      </c>
      <c r="K16">
        <v>12</v>
      </c>
      <c r="L16" s="11">
        <v>1</v>
      </c>
      <c r="M16">
        <v>0</v>
      </c>
      <c r="N16">
        <v>4</v>
      </c>
      <c r="O16">
        <f t="shared" si="0"/>
        <v>48</v>
      </c>
      <c r="U16" s="8">
        <v>10</v>
      </c>
      <c r="V16" s="8">
        <v>36</v>
      </c>
      <c r="W16" s="8" t="s">
        <v>24</v>
      </c>
    </row>
    <row r="17" spans="21:23" ht="12.75">
      <c r="U17" s="8">
        <v>11</v>
      </c>
      <c r="V17" s="8"/>
      <c r="W17" s="8"/>
    </row>
    <row r="18" spans="21:23" ht="12.75">
      <c r="U18" s="8" t="s">
        <v>109</v>
      </c>
      <c r="V18" s="8"/>
      <c r="W18" s="8"/>
    </row>
    <row r="19" spans="10:23" ht="12.75" customHeight="1">
      <c r="J19" s="451" t="s">
        <v>28</v>
      </c>
      <c r="K19" s="451"/>
      <c r="L19" s="451"/>
      <c r="M19" s="451"/>
      <c r="N19" s="451"/>
      <c r="O19" s="451"/>
      <c r="P19" s="451"/>
      <c r="Q19" s="451"/>
      <c r="R19" s="451"/>
      <c r="U19" s="8">
        <v>1</v>
      </c>
      <c r="V19" s="8">
        <v>12</v>
      </c>
      <c r="W19" s="8" t="s">
        <v>17</v>
      </c>
    </row>
    <row r="20" spans="1:23" ht="12.75">
      <c r="A20" s="60" t="s">
        <v>135</v>
      </c>
      <c r="B20" s="229" t="str">
        <f>IF($B$3&gt;$B$70,"OUI","NON")</f>
        <v>NON</v>
      </c>
      <c r="C20" s="60" t="str">
        <f>IF($B$3&gt;$B$70,"prise d'échelon postérieure au 01/01/2016 déjà enregistrée","la prise du dernier échelon est antérieure au 01/01/2016")</f>
        <v>la prise du dernier échelon est antérieure au 01/01/2016</v>
      </c>
      <c r="D20" s="60"/>
      <c r="E20" s="60"/>
      <c r="F20" s="60"/>
      <c r="J20" s="451"/>
      <c r="K20" s="451"/>
      <c r="L20" s="451"/>
      <c r="M20" s="451"/>
      <c r="N20" s="451"/>
      <c r="O20" s="451"/>
      <c r="P20" s="451"/>
      <c r="Q20" s="451"/>
      <c r="R20" s="451"/>
      <c r="U20" s="8">
        <v>2</v>
      </c>
      <c r="V20" s="8">
        <v>24</v>
      </c>
      <c r="W20" s="8" t="s">
        <v>19</v>
      </c>
    </row>
    <row r="21" spans="1:23" ht="12.75">
      <c r="A21" t="s">
        <v>137</v>
      </c>
      <c r="B21" t="str">
        <f>IF($B$3&gt;$B$70,$B$2-1,"sans objet")</f>
        <v>sans objet</v>
      </c>
      <c r="U21" s="8">
        <v>3</v>
      </c>
      <c r="V21" s="8">
        <v>24</v>
      </c>
      <c r="W21" s="8" t="s">
        <v>19</v>
      </c>
    </row>
    <row r="22" spans="1:23" ht="12.75">
      <c r="A22" t="s">
        <v>136</v>
      </c>
      <c r="B22" s="14" t="str">
        <f>IF($B$3&gt;$B$70,$B$3-(-30*(VLOOKUP(B21,J41:M49,4,1))+$E$5+365*VLOOKUP(B21,J41:M49,4,1)),"sans objet")</f>
        <v>sans objet</v>
      </c>
      <c r="C22">
        <f>IF(B22="sans objet","","soit")</f>
      </c>
      <c r="D22">
        <f>IF(B22="sans objet","",B22)</f>
      </c>
      <c r="E22">
        <f>IF(B22="sans objet","","soit en cours d'année")</f>
      </c>
      <c r="F22">
        <f>IF(B22="sans objet","",YEAR(B22))</f>
      </c>
      <c r="J22" t="s">
        <v>30</v>
      </c>
      <c r="U22" s="8">
        <v>4</v>
      </c>
      <c r="V22" s="8">
        <v>24</v>
      </c>
      <c r="W22" s="8" t="s">
        <v>19</v>
      </c>
    </row>
    <row r="23" spans="2:23" ht="12.75">
      <c r="B23" s="16" t="s">
        <v>21</v>
      </c>
      <c r="C23" s="16" t="s">
        <v>22</v>
      </c>
      <c r="D23" s="16" t="s">
        <v>23</v>
      </c>
      <c r="K23" t="s">
        <v>31</v>
      </c>
      <c r="L23" t="s">
        <v>10</v>
      </c>
      <c r="M23" t="s">
        <v>13</v>
      </c>
      <c r="N23" t="s">
        <v>14</v>
      </c>
      <c r="O23" t="s">
        <v>15</v>
      </c>
      <c r="P23" t="s">
        <v>16</v>
      </c>
      <c r="U23" s="8">
        <v>5</v>
      </c>
      <c r="V23" s="8">
        <v>24</v>
      </c>
      <c r="W23" s="8" t="s">
        <v>19</v>
      </c>
    </row>
    <row r="24" spans="1:23" ht="12.75">
      <c r="A24" t="str">
        <f>IF(B20="NON","Nouveau Reliquat d’ancienneté","Reliquat d’ancienneté détenu au "&amp;DAY(B22)&amp;"/"&amp;MONTH(B22)&amp;"/"&amp;YEAR(B22))</f>
        <v>Nouveau Reliquat d’ancienneté</v>
      </c>
      <c r="B24" s="228" t="str">
        <f>IF($B$3&gt;$B$70,0,"sans objet")</f>
        <v>sans objet</v>
      </c>
      <c r="C24" s="228" t="str">
        <f>IF($B$3&gt;$B$70,0,"sans objet")</f>
        <v>sans objet</v>
      </c>
      <c r="D24" s="228" t="str">
        <f>IF($B$3&gt;$B$70,0,"sans objet")</f>
        <v>sans objet</v>
      </c>
      <c r="E24">
        <f>IF(B24="sans objet","",(B24*360)+(30*C24)+D24)</f>
      </c>
      <c r="F24" s="17">
        <f>IF(B24="sans objet","","jours")</f>
      </c>
      <c r="J24">
        <v>1</v>
      </c>
      <c r="K24">
        <v>0</v>
      </c>
      <c r="L24">
        <v>1</v>
      </c>
      <c r="M24" s="11">
        <v>1</v>
      </c>
      <c r="N24">
        <v>0</v>
      </c>
      <c r="O24">
        <v>1</v>
      </c>
      <c r="P24">
        <f aca="true" t="shared" si="1" ref="P24:P35">VLOOKUP(L24,$U$33:$V$36,2,1)</f>
        <v>12</v>
      </c>
      <c r="U24" s="8">
        <v>6</v>
      </c>
      <c r="V24" s="8">
        <v>24</v>
      </c>
      <c r="W24" s="8" t="s">
        <v>19</v>
      </c>
    </row>
    <row r="25" spans="1:23" ht="12.75">
      <c r="A25" t="s">
        <v>160</v>
      </c>
      <c r="J25">
        <v>2</v>
      </c>
      <c r="K25">
        <v>0</v>
      </c>
      <c r="L25">
        <v>2</v>
      </c>
      <c r="M25" s="11">
        <v>1</v>
      </c>
      <c r="N25">
        <v>0</v>
      </c>
      <c r="O25">
        <v>2</v>
      </c>
      <c r="P25">
        <f t="shared" si="1"/>
        <v>24</v>
      </c>
      <c r="U25" s="8">
        <v>7</v>
      </c>
      <c r="V25" s="8">
        <v>24</v>
      </c>
      <c r="W25" s="8" t="s">
        <v>19</v>
      </c>
    </row>
    <row r="26" spans="1:23" ht="12.75">
      <c r="A26" t="s">
        <v>142</v>
      </c>
      <c r="J26">
        <v>3</v>
      </c>
      <c r="K26">
        <v>360</v>
      </c>
      <c r="L26">
        <v>2</v>
      </c>
      <c r="M26" s="11">
        <v>1</v>
      </c>
      <c r="N26">
        <v>1</v>
      </c>
      <c r="O26">
        <v>2</v>
      </c>
      <c r="P26">
        <f t="shared" si="1"/>
        <v>24</v>
      </c>
      <c r="U26" s="8">
        <v>8</v>
      </c>
      <c r="V26" s="8">
        <v>36</v>
      </c>
      <c r="W26" s="8" t="s">
        <v>24</v>
      </c>
    </row>
    <row r="27" spans="10:23" ht="12.75">
      <c r="J27">
        <v>4</v>
      </c>
      <c r="K27">
        <v>360</v>
      </c>
      <c r="L27">
        <v>3</v>
      </c>
      <c r="M27" s="11">
        <v>1</v>
      </c>
      <c r="N27">
        <v>1</v>
      </c>
      <c r="O27">
        <v>2</v>
      </c>
      <c r="P27">
        <f t="shared" si="1"/>
        <v>24</v>
      </c>
      <c r="U27" s="8">
        <v>9</v>
      </c>
      <c r="V27" s="8">
        <v>36</v>
      </c>
      <c r="W27" s="8" t="s">
        <v>24</v>
      </c>
    </row>
    <row r="28" spans="10:23" ht="12.75">
      <c r="J28">
        <v>5</v>
      </c>
      <c r="K28">
        <v>360</v>
      </c>
      <c r="L28">
        <v>4</v>
      </c>
      <c r="M28" s="11">
        <v>1</v>
      </c>
      <c r="N28">
        <v>1</v>
      </c>
      <c r="O28">
        <v>2</v>
      </c>
      <c r="P28">
        <f t="shared" si="1"/>
        <v>24</v>
      </c>
      <c r="U28" s="8">
        <v>10</v>
      </c>
      <c r="V28" s="8">
        <v>48</v>
      </c>
      <c r="W28" s="8" t="s">
        <v>38</v>
      </c>
    </row>
    <row r="29" spans="10:23" ht="12.75">
      <c r="J29">
        <v>6</v>
      </c>
      <c r="K29">
        <v>0</v>
      </c>
      <c r="L29">
        <v>5</v>
      </c>
      <c r="M29" s="11">
        <v>0.5</v>
      </c>
      <c r="N29">
        <v>1</v>
      </c>
      <c r="O29">
        <v>2</v>
      </c>
      <c r="P29">
        <f t="shared" si="1"/>
        <v>24</v>
      </c>
      <c r="U29" s="8">
        <v>11</v>
      </c>
      <c r="V29" s="8">
        <v>48</v>
      </c>
      <c r="W29" s="8" t="s">
        <v>38</v>
      </c>
    </row>
    <row r="30" spans="1:23" ht="12.75">
      <c r="A30" s="60" t="s">
        <v>156</v>
      </c>
      <c r="B30" s="229" t="str">
        <f>IF($B$3=$B$70,"OUI","NON")</f>
        <v>NON</v>
      </c>
      <c r="C30" s="60" t="str">
        <f>IF($B$3=$B$70,"prise d'échelon en C au 01/01/2016 déjà enregistrée","la prise du dernier échelon est antérieure au 01/01/2016")</f>
        <v>la prise du dernier échelon est antérieure au 01/01/2016</v>
      </c>
      <c r="D30" s="60"/>
      <c r="E30" s="60"/>
      <c r="F30" s="60"/>
      <c r="J30">
        <v>7</v>
      </c>
      <c r="K30">
        <v>0</v>
      </c>
      <c r="L30">
        <v>6</v>
      </c>
      <c r="M30" s="11">
        <v>1</v>
      </c>
      <c r="N30">
        <v>0</v>
      </c>
      <c r="O30">
        <v>2</v>
      </c>
      <c r="P30">
        <f t="shared" si="1"/>
        <v>24</v>
      </c>
      <c r="U30" s="8">
        <v>12</v>
      </c>
      <c r="V30" s="8">
        <v>48</v>
      </c>
      <c r="W30" s="8" t="s">
        <v>38</v>
      </c>
    </row>
    <row r="31" spans="1:23" ht="12.75">
      <c r="A31" t="s">
        <v>140</v>
      </c>
      <c r="B31" s="71"/>
      <c r="C31" s="71"/>
      <c r="D31" s="71"/>
      <c r="E31" s="71"/>
      <c r="F31" s="71"/>
      <c r="J31">
        <v>8</v>
      </c>
      <c r="K31">
        <v>0</v>
      </c>
      <c r="L31">
        <v>7</v>
      </c>
      <c r="M31" s="11">
        <f>2/3</f>
        <v>0.6666666666666666</v>
      </c>
      <c r="N31">
        <v>0</v>
      </c>
      <c r="O31">
        <v>2</v>
      </c>
      <c r="P31">
        <f t="shared" si="1"/>
        <v>24</v>
      </c>
      <c r="U31" s="8">
        <v>13</v>
      </c>
      <c r="V31" s="8"/>
      <c r="W31" s="8"/>
    </row>
    <row r="32" spans="1:23" ht="12.75">
      <c r="A32" t="s">
        <v>161</v>
      </c>
      <c r="B32" s="142"/>
      <c r="C32" s="71"/>
      <c r="D32" s="71"/>
      <c r="E32" s="71"/>
      <c r="F32" s="71"/>
      <c r="J32">
        <v>9</v>
      </c>
      <c r="K32">
        <v>0</v>
      </c>
      <c r="L32">
        <v>8</v>
      </c>
      <c r="M32" s="11">
        <v>0</v>
      </c>
      <c r="N32">
        <v>0</v>
      </c>
      <c r="O32">
        <v>3</v>
      </c>
      <c r="P32">
        <f t="shared" si="1"/>
        <v>24</v>
      </c>
      <c r="U32" s="8" t="s">
        <v>112</v>
      </c>
      <c r="V32" s="8"/>
      <c r="W32" s="8"/>
    </row>
    <row r="33" spans="10:23" ht="12.75">
      <c r="J33">
        <v>10</v>
      </c>
      <c r="K33">
        <v>0</v>
      </c>
      <c r="L33">
        <v>8</v>
      </c>
      <c r="M33" s="11">
        <f>3/4</f>
        <v>0.75</v>
      </c>
      <c r="N33">
        <v>0</v>
      </c>
      <c r="O33">
        <v>3</v>
      </c>
      <c r="P33">
        <f t="shared" si="1"/>
        <v>24</v>
      </c>
      <c r="U33" s="8">
        <v>1</v>
      </c>
      <c r="V33" s="8">
        <v>12</v>
      </c>
      <c r="W33" s="8" t="s">
        <v>17</v>
      </c>
    </row>
    <row r="34" spans="10:23" ht="12.75">
      <c r="J34">
        <v>11</v>
      </c>
      <c r="K34">
        <v>0</v>
      </c>
      <c r="L34">
        <v>9</v>
      </c>
      <c r="M34" s="11">
        <f>3/4</f>
        <v>0.75</v>
      </c>
      <c r="N34">
        <v>0</v>
      </c>
      <c r="O34">
        <v>3</v>
      </c>
      <c r="P34">
        <f t="shared" si="1"/>
        <v>24</v>
      </c>
      <c r="U34" s="8">
        <v>2</v>
      </c>
      <c r="V34" s="8">
        <v>24</v>
      </c>
      <c r="W34" s="8" t="s">
        <v>19</v>
      </c>
    </row>
    <row r="35" spans="2:23" ht="12.75">
      <c r="B35" s="60"/>
      <c r="C35" s="60"/>
      <c r="D35" s="60"/>
      <c r="E35" s="60"/>
      <c r="F35" s="60"/>
      <c r="J35">
        <v>12</v>
      </c>
      <c r="K35">
        <v>0</v>
      </c>
      <c r="L35">
        <v>10</v>
      </c>
      <c r="M35" s="11">
        <v>1</v>
      </c>
      <c r="N35">
        <v>0</v>
      </c>
      <c r="O35">
        <v>2</v>
      </c>
      <c r="P35">
        <f t="shared" si="1"/>
        <v>24</v>
      </c>
      <c r="U35" s="8">
        <v>3</v>
      </c>
      <c r="V35" s="8">
        <v>24</v>
      </c>
      <c r="W35" s="8" t="s">
        <v>19</v>
      </c>
    </row>
    <row r="36" spans="1:23" ht="12.75">
      <c r="A36" s="60" t="s">
        <v>144</v>
      </c>
      <c r="B36" s="229" t="str">
        <f>IF(B7&lt;B70,"OUI","NON")</f>
        <v>NON</v>
      </c>
      <c r="C36" s="60"/>
      <c r="D36" s="60"/>
      <c r="E36" s="60"/>
      <c r="F36" s="60"/>
      <c r="G36" s="60"/>
      <c r="H36" s="60"/>
      <c r="U36" s="8">
        <v>4</v>
      </c>
      <c r="V36" s="8">
        <v>24</v>
      </c>
      <c r="W36" s="8" t="s">
        <v>19</v>
      </c>
    </row>
    <row r="37" spans="1:23" ht="12.75">
      <c r="A37" t="s">
        <v>137</v>
      </c>
      <c r="B37" t="str">
        <f>IF(B7&lt;B70,B2+1,"sans objet")</f>
        <v>sans objet</v>
      </c>
      <c r="U37" s="8">
        <v>5</v>
      </c>
      <c r="V37" s="35">
        <v>24</v>
      </c>
      <c r="W37" s="35" t="s">
        <v>19</v>
      </c>
    </row>
    <row r="38" spans="1:23" ht="13.5" thickBot="1">
      <c r="A38" t="s">
        <v>136</v>
      </c>
      <c r="B38" s="143" t="str">
        <f>IF(B36="oui",B7,"sans objet")</f>
        <v>sans objet</v>
      </c>
      <c r="C38">
        <f>IF(B38="sans objet","","soit")</f>
      </c>
      <c r="D38">
        <f>IF(B38="sans objet","",B38)</f>
      </c>
      <c r="E38">
        <f>IF(B38="sans objet","","soit en cours d'année")</f>
      </c>
      <c r="F38">
        <f>IF(B38="sans objet","",YEAR(B38))</f>
      </c>
      <c r="U38" s="8">
        <v>6</v>
      </c>
      <c r="V38" s="8">
        <v>24</v>
      </c>
      <c r="W38" s="8" t="s">
        <v>19</v>
      </c>
    </row>
    <row r="39" spans="1:23" ht="15.75" thickBot="1">
      <c r="A39" t="s">
        <v>147</v>
      </c>
      <c r="B39" t="str">
        <f>IF(B36="NON","sans objet",IF($F$3=2014,60,IF($F$3=2013,90,IF($F$3=2012,120,IF($F$3=2015,30,IF($F$3=2011,150,IF($F$3=2010,180,IF($F$3=2016,0,"date effet antérieure à 2010?"))))))))</f>
        <v>sans objet</v>
      </c>
      <c r="J39" s="453" t="s">
        <v>71</v>
      </c>
      <c r="K39" s="453"/>
      <c r="L39" s="453"/>
      <c r="M39" s="453"/>
      <c r="U39" s="8">
        <v>7</v>
      </c>
      <c r="V39" s="8">
        <v>24</v>
      </c>
      <c r="W39" s="8" t="s">
        <v>19</v>
      </c>
    </row>
    <row r="40" spans="2:23" ht="24.75" thickBot="1">
      <c r="B40" s="16" t="s">
        <v>21</v>
      </c>
      <c r="C40" s="16" t="s">
        <v>22</v>
      </c>
      <c r="D40" s="16" t="s">
        <v>23</v>
      </c>
      <c r="J40" s="40" t="s">
        <v>48</v>
      </c>
      <c r="K40" s="41" t="s">
        <v>49</v>
      </c>
      <c r="L40" s="41" t="s">
        <v>50</v>
      </c>
      <c r="M40" s="42" t="s">
        <v>51</v>
      </c>
      <c r="U40" s="8">
        <v>8</v>
      </c>
      <c r="V40" s="8">
        <v>36</v>
      </c>
      <c r="W40" s="8" t="s">
        <v>24</v>
      </c>
    </row>
    <row r="41" spans="1:23" ht="12.75">
      <c r="A41" t="str">
        <f>IF(B36="NON","Nouveau Reliquat d'ancienneté","Reliquat d’ancienneté détenu au "&amp;DAY(B38)&amp;"/"&amp;MONTH(B38)&amp;"/"&amp;YEAR(B38))</f>
        <v>Nouveau Reliquat d'ancienneté</v>
      </c>
      <c r="B41" s="173" t="str">
        <f>IF(B36="NON","sans objet",TRUNC(E41/360))</f>
        <v>sans objet</v>
      </c>
      <c r="C41" s="173" t="str">
        <f>IF(B36="NON","sans objet",INT((E41/30)-(12*B41)))</f>
        <v>sans objet</v>
      </c>
      <c r="D41" s="174" t="str">
        <f>IF(B36="NON","sans objet",E41-((B41*360)+(C41*30)))</f>
        <v>sans objet</v>
      </c>
      <c r="E41">
        <f>IF(B36="oui",B39,"")</f>
      </c>
      <c r="F41" s="17">
        <f>IF(B41="sans objet","","jours")</f>
      </c>
      <c r="J41" s="45">
        <v>1</v>
      </c>
      <c r="K41" s="46">
        <v>364</v>
      </c>
      <c r="L41" s="46">
        <v>338</v>
      </c>
      <c r="M41" s="49">
        <v>1</v>
      </c>
      <c r="U41" s="8">
        <v>9</v>
      </c>
      <c r="V41" s="8">
        <v>36</v>
      </c>
      <c r="W41" s="8" t="s">
        <v>24</v>
      </c>
    </row>
    <row r="42" spans="1:23" ht="12.75">
      <c r="A42" t="s">
        <v>141</v>
      </c>
      <c r="J42" s="52">
        <v>2</v>
      </c>
      <c r="K42" s="53">
        <v>374</v>
      </c>
      <c r="L42" s="53">
        <v>345</v>
      </c>
      <c r="M42" s="56">
        <v>1</v>
      </c>
      <c r="U42" s="8">
        <v>10</v>
      </c>
      <c r="V42" s="8">
        <v>48</v>
      </c>
      <c r="W42" s="8" t="s">
        <v>38</v>
      </c>
    </row>
    <row r="43" spans="1:23" ht="12.75">
      <c r="A43" t="s">
        <v>162</v>
      </c>
      <c r="J43" s="52">
        <v>3</v>
      </c>
      <c r="K43" s="53">
        <v>388</v>
      </c>
      <c r="L43" s="53">
        <v>355</v>
      </c>
      <c r="M43" s="56">
        <v>2</v>
      </c>
      <c r="U43" s="8">
        <v>11</v>
      </c>
      <c r="V43" s="8">
        <v>48</v>
      </c>
      <c r="W43" s="8" t="s">
        <v>38</v>
      </c>
    </row>
    <row r="44" spans="10:23" ht="12.75">
      <c r="J44" s="52">
        <v>4</v>
      </c>
      <c r="K44" s="53">
        <v>416</v>
      </c>
      <c r="L44" s="53">
        <v>370</v>
      </c>
      <c r="M44" s="56">
        <v>2</v>
      </c>
      <c r="U44" s="8">
        <v>12</v>
      </c>
      <c r="V44" s="8">
        <v>48</v>
      </c>
      <c r="W44" s="8" t="s">
        <v>38</v>
      </c>
    </row>
    <row r="45" spans="10:23" ht="12.75">
      <c r="J45" s="52">
        <v>5</v>
      </c>
      <c r="K45" s="59">
        <v>437</v>
      </c>
      <c r="L45" s="59">
        <v>385</v>
      </c>
      <c r="M45" s="56">
        <v>3</v>
      </c>
      <c r="U45" s="8">
        <v>13</v>
      </c>
      <c r="V45" s="8"/>
      <c r="W45" s="8"/>
    </row>
    <row r="46" spans="10:13" ht="12">
      <c r="J46" s="52">
        <v>6</v>
      </c>
      <c r="K46" s="53">
        <v>457</v>
      </c>
      <c r="L46" s="53">
        <v>400</v>
      </c>
      <c r="M46" s="56">
        <v>3</v>
      </c>
    </row>
    <row r="47" spans="1:13" ht="12">
      <c r="A47" s="60" t="s">
        <v>146</v>
      </c>
      <c r="B47" s="229" t="str">
        <f>IF(B7=B70,IF(B9="oui","NON","OUI"),"NON")</f>
        <v>NON</v>
      </c>
      <c r="C47" s="60"/>
      <c r="D47" s="60"/>
      <c r="E47" s="60"/>
      <c r="F47" s="60"/>
      <c r="G47" s="60"/>
      <c r="H47" s="60"/>
      <c r="J47" s="52">
        <v>7</v>
      </c>
      <c r="K47" s="53">
        <v>488</v>
      </c>
      <c r="L47" s="53">
        <v>422</v>
      </c>
      <c r="M47" s="56">
        <v>4</v>
      </c>
    </row>
    <row r="48" spans="1:13" ht="12">
      <c r="A48" t="s">
        <v>137</v>
      </c>
      <c r="B48" t="str">
        <f>IF(B7=B70,B2+1,"sans objet")</f>
        <v>sans objet</v>
      </c>
      <c r="J48" s="52">
        <v>8</v>
      </c>
      <c r="K48" s="53">
        <v>506</v>
      </c>
      <c r="L48" s="53">
        <v>436</v>
      </c>
      <c r="M48" s="56">
        <v>4</v>
      </c>
    </row>
    <row r="49" spans="1:13" ht="12.75" thickBot="1">
      <c r="A49" t="s">
        <v>136</v>
      </c>
      <c r="B49" s="143" t="str">
        <f>IF(B47="oui",B7,"sans objet")</f>
        <v>sans objet</v>
      </c>
      <c r="C49">
        <f>IF(B49="sans objet","","soit")</f>
      </c>
      <c r="D49">
        <f>IF(B49="sans objet","",B49)</f>
      </c>
      <c r="E49">
        <f>IF(B49="sans objet","","soit en cours d'année")</f>
      </c>
      <c r="F49">
        <f>IF(B49="sans objet","",YEAR(B49))</f>
      </c>
      <c r="J49" s="62">
        <v>9</v>
      </c>
      <c r="K49" s="63">
        <v>543</v>
      </c>
      <c r="L49" s="63">
        <v>462</v>
      </c>
      <c r="M49" s="67"/>
    </row>
    <row r="50" spans="1:2" ht="12">
      <c r="A50" t="s">
        <v>147</v>
      </c>
      <c r="B50" t="str">
        <f>IF(B47="NON","sans objet",IF($F$3=2014,60,IF($F$3=2013,90,IF($F$3=2012,120,IF($F$3=2015,30,IF($F$3=2011,150,IF($F$3=2010,180,IF($F$3=2016,0,"date effet antérieure à 2010?"))))))))</f>
        <v>sans objet</v>
      </c>
    </row>
    <row r="51" spans="1:4" ht="12.75">
      <c r="A51" t="str">
        <f>IF(B47="NON","Nouveau Reliquat d'ancienneté","Nouveau Reliquat d’ancienneté détenu au "&amp;DAY(B49)&amp;"/"&amp;MONTH(B49)&amp;"/"&amp;YEAR(B49))</f>
        <v>Nouveau Reliquat d'ancienneté</v>
      </c>
      <c r="B51" s="16" t="s">
        <v>21</v>
      </c>
      <c r="C51" s="16" t="s">
        <v>22</v>
      </c>
      <c r="D51" s="16" t="s">
        <v>23</v>
      </c>
    </row>
    <row r="52" spans="1:6" ht="12">
      <c r="A52" t="s">
        <v>141</v>
      </c>
      <c r="B52" s="173" t="str">
        <f>IF(B47="NON","sans objet",TRUNC(E52/360))</f>
        <v>sans objet</v>
      </c>
      <c r="C52" s="173" t="str">
        <f>IF(B47="NON","sans objet",INT((E52/30)-(12*B52)))</f>
        <v>sans objet</v>
      </c>
      <c r="D52" s="174" t="str">
        <f>IF(B47="NON","sans objet",E52-((B52*360)+(C52*30)))</f>
        <v>sans objet</v>
      </c>
      <c r="E52">
        <f>IF(B47="oui",B50,"")</f>
      </c>
      <c r="F52" s="17">
        <f>IF(B52="sans objet","","jours")</f>
      </c>
    </row>
    <row r="53" ht="12">
      <c r="A53" t="s">
        <v>162</v>
      </c>
    </row>
    <row r="57" spans="1:7" ht="12">
      <c r="A57" s="60" t="s">
        <v>158</v>
      </c>
      <c r="B57" s="229" t="str">
        <f>IF(B7&gt;B70,IF(B9="OUI","NON",IF(B20="OUI","NON",IF(B30="oui","NON",IF(B47="oui","NON","OUI")))),"NON")</f>
        <v>OUI</v>
      </c>
      <c r="C57" s="60"/>
      <c r="D57" s="60"/>
      <c r="E57" s="60"/>
      <c r="F57" s="60"/>
      <c r="G57" s="60"/>
    </row>
    <row r="58" spans="1:5" ht="12">
      <c r="A58" t="s">
        <v>163</v>
      </c>
      <c r="E58" t="s">
        <v>148</v>
      </c>
    </row>
    <row r="59" ht="12">
      <c r="A59" t="s">
        <v>164</v>
      </c>
    </row>
    <row r="62" ht="12">
      <c r="A62" s="60" t="s">
        <v>117</v>
      </c>
    </row>
    <row r="63" spans="1:2" ht="12">
      <c r="A63" s="231" t="s">
        <v>118</v>
      </c>
      <c r="B63" s="231">
        <f>IF($B$20="OUI",B21,IF($B$30="oui",B2,IF($B$36="OUI",B37,IF($B$47="oui",B48,IF($B$57="oui",B2,IF($B$9="oui",B10,"pb"))))))</f>
        <v>7</v>
      </c>
    </row>
    <row r="64" spans="1:4" ht="12.75">
      <c r="A64" s="231" t="s">
        <v>138</v>
      </c>
      <c r="B64" s="232">
        <f>IF($B$20="OUI",B22,IF($B$30="oui",B3,IF(B36="oui",B38,IF(B47="oui",B49,IF($B$57="oui",B3,IF($B$9="oui",B11,"pb"))))))</f>
        <v>41671</v>
      </c>
      <c r="C64" t="str">
        <f>IF(B64="sans objet","","soit")</f>
        <v>soit</v>
      </c>
      <c r="D64">
        <f>IF(B64="sans objet","",B64)</f>
        <v>41671</v>
      </c>
    </row>
    <row r="65" spans="2:4" ht="12.75">
      <c r="B65" s="233" t="s">
        <v>21</v>
      </c>
      <c r="C65" s="234" t="s">
        <v>22</v>
      </c>
      <c r="D65" s="235" t="s">
        <v>23</v>
      </c>
    </row>
    <row r="66" spans="1:6" ht="12">
      <c r="A66" s="231" t="s">
        <v>139</v>
      </c>
      <c r="B66" s="236">
        <f>IF($B$20="OUI",B24,IF($B$30="oui",B5,IF($B$36="oui",B41,IF($B$47="oui",B52,IF($B$57="oui",B5,IF($B$9="oui",B14,"pb"))))))</f>
        <v>0</v>
      </c>
      <c r="C66" s="236">
        <f>IF($B$20="OUI",C24,IF($B$30="oui",C5,IF($B$36="oui",C41,IF($B$47="oui",C52,IF($B$57="oui",C5,IF($B$9="oui",C14,"pb"))))))</f>
        <v>0</v>
      </c>
      <c r="D66" s="236">
        <f>IF($B$20="OUI",D24,IF($B$30="oui",D5,IF($B$36="oui",D41,IF($B$47="oui",D52,IF($B$57="oui",D5,IF($B$9="oui",D14,"pb"))))))</f>
        <v>0</v>
      </c>
      <c r="E66" s="236">
        <f>IF($B$20="OUI",E24,IF($B$30="oui",E5,IF($B$36="oui",E41,IF($B$47="oui",E52,IF($B$57="oui",E5,IF($B$9="oui",E14,"pb"))))))</f>
        <v>0</v>
      </c>
      <c r="F66" s="236" t="s">
        <v>108</v>
      </c>
    </row>
    <row r="67" spans="1:4" ht="12">
      <c r="A67" s="71"/>
      <c r="B67" s="70"/>
      <c r="C67" s="70"/>
      <c r="D67" s="70"/>
    </row>
    <row r="68" spans="1:4" ht="12">
      <c r="A68" s="71"/>
      <c r="B68" s="70"/>
      <c r="C68" s="70"/>
      <c r="D68" s="70"/>
    </row>
    <row r="69" spans="1:4" ht="12">
      <c r="A69" s="71"/>
      <c r="B69" s="70"/>
      <c r="C69" s="70"/>
      <c r="D69" s="70"/>
    </row>
    <row r="70" spans="1:4" ht="12.75">
      <c r="A70" s="12" t="s">
        <v>26</v>
      </c>
      <c r="B70" s="117">
        <v>42370</v>
      </c>
      <c r="C70" t="s">
        <v>106</v>
      </c>
      <c r="D70" s="71">
        <f>B70</f>
        <v>42370</v>
      </c>
    </row>
    <row r="74" spans="1:4" ht="12">
      <c r="A74" s="266" t="str">
        <f>HYPERLINK("http://www.legifrance.gouv.fr/affichTexte.do?cidTexte=JORFTEXT000021262538","Application de l'article 13 du Décret n°2009-1388 pour le classement dans le premier grade")</f>
        <v>Application de l'article 13 du Décret n°2009-1388 pour le classement dans le premier grade</v>
      </c>
      <c r="B74" s="266"/>
      <c r="C74" s="266"/>
      <c r="D74" s="266"/>
    </row>
    <row r="75" spans="1:6" ht="12.75">
      <c r="A75" s="15"/>
      <c r="B75" s="16" t="s">
        <v>21</v>
      </c>
      <c r="C75" s="16" t="s">
        <v>22</v>
      </c>
      <c r="D75" s="16" t="s">
        <v>23</v>
      </c>
      <c r="E75" s="18"/>
      <c r="F75" s="18"/>
    </row>
    <row r="76" spans="1:6" ht="12.75">
      <c r="A76" s="19" t="str">
        <f>"Durée dans l’échelon "&amp;B2&amp;" à la veille de la nomination"</f>
        <v>Durée dans l’échelon 7 à la veille de la nomination</v>
      </c>
      <c r="B76" s="173">
        <f>TRUNC(E76/360)</f>
        <v>1</v>
      </c>
      <c r="C76" s="173">
        <f>INT((E76/30)-(12*B76))</f>
        <v>11</v>
      </c>
      <c r="D76" s="174">
        <f>E76-((B76*360)+(C76*30))</f>
        <v>0</v>
      </c>
      <c r="E76">
        <f>DAYS360(D64,D70-1)</f>
        <v>690</v>
      </c>
      <c r="F76" s="17" t="s">
        <v>108</v>
      </c>
    </row>
    <row r="77" spans="1:3" ht="12">
      <c r="A77" t="s">
        <v>29</v>
      </c>
      <c r="B77">
        <f>E66+E76</f>
        <v>690</v>
      </c>
      <c r="C77">
        <f>B77/365</f>
        <v>1.8904109589041096</v>
      </c>
    </row>
    <row r="78" spans="1:3" ht="25.5" customHeight="1">
      <c r="A78" t="s">
        <v>32</v>
      </c>
      <c r="B78" s="23">
        <f>IF(B1=6,MIN(VLOOKUP(B63,$J$8:$O$16,3,1)*B77+360*VLOOKUP(B63,$J$8:$O$16,4,1),VLOOKUP(B63,$J$8:$O$16,5,1)*360),IF(AND(B77&gt;=VLOOKUP(B63,$J$24:$P$35,2,1),VLOOKUP(B2,$J$24:$P$35,2,1)&lt;&gt;0),B77-VLOOKUP(B2,$J$24:$P$35,2,1),MIN(VLOOKUP(B2,$J$24:$P$35,4,1)*B77+360*VLOOKUP(B2,$J$24:$P$35,5,1),VLOOKUP(B2,$J$24:$P$35,6,1)*360)))</f>
        <v>690</v>
      </c>
      <c r="C78" t="s">
        <v>33</v>
      </c>
    </row>
    <row r="79" spans="1:2" ht="12">
      <c r="A79" t="s">
        <v>34</v>
      </c>
      <c r="B79" s="22" t="b">
        <f>IF(B1=6,B78=VLOOKUP(B63,$J$8:$O$16,6,1)*30,IF(AND(B77&gt;=VLOOKUP(B63,$J$24:$P$35,2,1),VLOOKUP(B63,$J$24:$P$35,2,1)&lt;&gt;0),VLOOKUP(B63+1,$J$24:$P$35,7,1)*30=B78,VLOOKUP(B63,$J$24:$P$35,7,1)*30=B78))</f>
        <v>0</v>
      </c>
    </row>
    <row r="80" spans="1:3" ht="12">
      <c r="A80" t="s">
        <v>35</v>
      </c>
      <c r="B80" s="23">
        <f>ROUND(IF(B79,0,B78),0)</f>
        <v>690</v>
      </c>
      <c r="C80" t="s">
        <v>36</v>
      </c>
    </row>
    <row r="81" spans="1:2" ht="12.75" thickBot="1">
      <c r="A81" t="s">
        <v>37</v>
      </c>
      <c r="B81">
        <f>IF(B1=6,VLOOKUP(B63,$J$8:$O$16,2,1),IF(AND(B77&gt;=VLOOKUP(B63,$J$24:$P$35,2,1),VLOOKUP(B63,$J$24:$P$35,2,1)&lt;&gt;0),VLOOKUP(B63,$J$24:$P$35,3,1)+1,VLOOKUP(B63,$J$24:$P$35,3,1)))</f>
        <v>10</v>
      </c>
    </row>
    <row r="82" spans="1:4" ht="15.75" thickTop="1">
      <c r="A82" s="24" t="s">
        <v>110</v>
      </c>
      <c r="B82" s="25">
        <f>IF(B79,B81+1,B81)</f>
        <v>10</v>
      </c>
      <c r="C82" s="26"/>
      <c r="D82" s="27"/>
    </row>
    <row r="83" spans="1:4" ht="12">
      <c r="A83" s="28"/>
      <c r="D83" s="29"/>
    </row>
    <row r="84" spans="1:4" ht="12.75">
      <c r="A84" s="30"/>
      <c r="B84" s="16" t="s">
        <v>21</v>
      </c>
      <c r="C84" s="16" t="s">
        <v>22</v>
      </c>
      <c r="D84" s="31" t="s">
        <v>23</v>
      </c>
    </row>
    <row r="85" spans="1:6" ht="13.5" thickBot="1">
      <c r="A85" s="175" t="s">
        <v>111</v>
      </c>
      <c r="B85" s="33">
        <f>INT(B80/360)</f>
        <v>1</v>
      </c>
      <c r="C85" s="33">
        <f>INT((B80-B85*360)/30)</f>
        <v>11</v>
      </c>
      <c r="D85" s="34">
        <f>B80-B85*360-C85*30</f>
        <v>0</v>
      </c>
      <c r="E85" s="176">
        <f>(B85*360)+(30*C85)+D85</f>
        <v>690</v>
      </c>
      <c r="F85" s="17" t="s">
        <v>108</v>
      </c>
    </row>
    <row r="86" spans="1:2" ht="12.75" thickTop="1">
      <c r="A86" t="s">
        <v>41</v>
      </c>
      <c r="B86">
        <f>(B85*360)+(C85*30)+D85</f>
        <v>690</v>
      </c>
    </row>
    <row r="87" spans="1:2" ht="12.75">
      <c r="A87" s="177" t="s">
        <v>165</v>
      </c>
      <c r="B87">
        <v>0</v>
      </c>
    </row>
    <row r="89" ht="12.75" thickBot="1"/>
    <row r="90" spans="1:4" ht="15">
      <c r="A90" s="178" t="s">
        <v>110</v>
      </c>
      <c r="B90" s="179">
        <f>B82</f>
        <v>10</v>
      </c>
      <c r="C90" s="180"/>
      <c r="D90" s="181"/>
    </row>
    <row r="91" spans="1:4" ht="12">
      <c r="A91" s="182"/>
      <c r="B91" s="183"/>
      <c r="C91" s="183"/>
      <c r="D91" s="184"/>
    </row>
    <row r="92" spans="1:4" ht="12.75">
      <c r="A92" s="185"/>
      <c r="B92" s="186" t="s">
        <v>21</v>
      </c>
      <c r="C92" s="186" t="s">
        <v>22</v>
      </c>
      <c r="D92" s="187" t="s">
        <v>23</v>
      </c>
    </row>
    <row r="93" spans="1:6" ht="13.5" thickBot="1">
      <c r="A93" s="188" t="s">
        <v>29</v>
      </c>
      <c r="B93" s="189">
        <f>TRUNC(E93/360)</f>
        <v>1</v>
      </c>
      <c r="C93" s="189">
        <f>TRUNC((E93/30)-(12*B93))</f>
        <v>11</v>
      </c>
      <c r="D93" s="190">
        <f>E93-((B93*360)+(C93*30))</f>
        <v>0</v>
      </c>
      <c r="E93" s="176">
        <f>E85+B87</f>
        <v>690</v>
      </c>
      <c r="F93" s="17" t="s">
        <v>108</v>
      </c>
    </row>
  </sheetData>
  <sheetProtection password="EEF6" sheet="1" objects="1" scenarios="1"/>
  <mergeCells count="4">
    <mergeCell ref="J3:R4"/>
    <mergeCell ref="U4:W4"/>
    <mergeCell ref="J19:R20"/>
    <mergeCell ref="J39:M39"/>
  </mergeCells>
  <dataValidations count="5">
    <dataValidation type="date" operator="greaterThan" allowBlank="1" showErrorMessage="1" sqref="B70">
      <formula1>41671</formula1>
    </dataValidation>
    <dataValidation type="whole" operator="greaterThanOrEqual" allowBlank="1" showErrorMessage="1" sqref="B5:D5">
      <formula1>0</formula1>
    </dataValidation>
    <dataValidation operator="greaterThanOrEqual" allowBlank="1" showErrorMessage="1" sqref="B3">
      <formula1>0</formula1>
    </dataValidation>
    <dataValidation type="whole" operator="greaterThanOrEqual" allowBlank="1" showErrorMessage="1" sqref="B2">
      <formula1>1</formula1>
    </dataValidation>
    <dataValidation type="list" operator="equal" allowBlank="1" showErrorMessage="1" sqref="B1">
      <formula1>"3,4,5,6"</formula1>
    </dataValidation>
  </dataValidations>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dimension ref="A1:V95"/>
  <sheetViews>
    <sheetView workbookViewId="0" topLeftCell="I1">
      <selection activeCell="G59" sqref="G59"/>
    </sheetView>
  </sheetViews>
  <sheetFormatPr defaultColWidth="11.57421875" defaultRowHeight="12.75"/>
  <cols>
    <col min="1" max="1" width="56.7109375" style="0" customWidth="1"/>
    <col min="2" max="2" width="10.7109375" style="0" customWidth="1"/>
    <col min="3" max="3" width="39.7109375" style="0" customWidth="1"/>
    <col min="4" max="4" width="10.140625" style="0" customWidth="1"/>
    <col min="5" max="5" width="29.7109375" style="0" customWidth="1"/>
    <col min="6" max="6" width="9.8515625" style="0" customWidth="1"/>
    <col min="7" max="7" width="5.00390625" style="0" customWidth="1"/>
    <col min="8" max="8" width="11.421875" style="0" customWidth="1"/>
    <col min="9" max="9" width="8.7109375" style="0" customWidth="1"/>
    <col min="10" max="10" width="22.8515625" style="0" customWidth="1"/>
    <col min="11" max="11" width="49.7109375" style="0" customWidth="1"/>
    <col min="12" max="12" width="19.8515625" style="0" customWidth="1"/>
    <col min="13" max="13" width="13.421875" style="0" customWidth="1"/>
    <col min="14" max="15" width="25.7109375" style="0" customWidth="1"/>
    <col min="16" max="19" width="11.421875" style="0" customWidth="1"/>
    <col min="20" max="20" width="3.140625" style="0" customWidth="1"/>
    <col min="21" max="21" width="29.28125" style="0" customWidth="1"/>
    <col min="22" max="22" width="6.421875" style="0" customWidth="1"/>
    <col min="23" max="16384" width="11.421875" style="0" customWidth="1"/>
  </cols>
  <sheetData>
    <row r="1" spans="1:22" ht="12.75">
      <c r="A1" s="9" t="s">
        <v>18</v>
      </c>
      <c r="B1" s="10">
        <f>'reclas promo CenB au 01_01_2016'!B1</f>
        <v>6</v>
      </c>
      <c r="D1" s="71"/>
      <c r="T1" s="2"/>
      <c r="U1" s="5" t="s">
        <v>113</v>
      </c>
      <c r="V1" s="4"/>
    </row>
    <row r="2" spans="1:22" ht="15" customHeight="1">
      <c r="A2" s="12" t="str">
        <f>"ÉCHELON détenu en tant que cat. C Échelle "&amp;B1</f>
        <v>ÉCHELON détenu en tant que cat. C Échelle 6</v>
      </c>
      <c r="B2" s="13">
        <f>'reclas promo CenB au 01_01_2016'!B2</f>
        <v>7</v>
      </c>
      <c r="I2" s="451" t="s">
        <v>114</v>
      </c>
      <c r="J2" s="451"/>
      <c r="K2" s="451"/>
      <c r="L2" s="451"/>
      <c r="M2" s="451"/>
      <c r="N2" s="451"/>
      <c r="O2" s="451"/>
      <c r="P2" s="451"/>
      <c r="Q2" s="451"/>
      <c r="T2" s="8"/>
      <c r="U2" s="8"/>
      <c r="V2" s="8"/>
    </row>
    <row r="3" spans="1:22" ht="12.75">
      <c r="A3" s="12" t="s">
        <v>20</v>
      </c>
      <c r="B3" s="14">
        <f>'reclas promo CenB au 01_01_2016'!B3</f>
        <v>41671</v>
      </c>
      <c r="C3" s="124" t="s">
        <v>106</v>
      </c>
      <c r="D3" s="71">
        <f>B3</f>
        <v>41671</v>
      </c>
      <c r="E3" t="s">
        <v>107</v>
      </c>
      <c r="F3">
        <f>YEAR(B3)</f>
        <v>2014</v>
      </c>
      <c r="G3" s="71"/>
      <c r="I3" s="451"/>
      <c r="J3" s="451"/>
      <c r="K3" s="451"/>
      <c r="L3" s="451"/>
      <c r="M3" s="451"/>
      <c r="N3" s="451"/>
      <c r="O3" s="451"/>
      <c r="P3" s="451"/>
      <c r="Q3" s="451"/>
      <c r="T3" s="452" t="s">
        <v>5</v>
      </c>
      <c r="U3" s="452"/>
      <c r="V3" s="452"/>
    </row>
    <row r="4" spans="1:22" ht="12.75">
      <c r="A4" s="15"/>
      <c r="B4" s="16" t="s">
        <v>21</v>
      </c>
      <c r="C4" s="16" t="s">
        <v>22</v>
      </c>
      <c r="D4" s="16" t="s">
        <v>23</v>
      </c>
      <c r="U4" s="8" t="s">
        <v>7</v>
      </c>
      <c r="V4" s="8" t="s">
        <v>8</v>
      </c>
    </row>
    <row r="5" spans="1:22" ht="12.75">
      <c r="A5" s="12" t="str">
        <f>"Reliquat d’ancienneté détenu au "&amp;DAY(B3)&amp;"/"&amp;MONTH(B3)&amp;"/"&amp;YEAR(B3)</f>
        <v>Reliquat d’ancienneté détenu au 1/2/2014</v>
      </c>
      <c r="B5" s="13">
        <f>'reclas promo CenB au 01_01_2016'!B5</f>
        <v>0</v>
      </c>
      <c r="C5" s="13">
        <f>'reclas promo CenB au 01_01_2016'!C5</f>
        <v>0</v>
      </c>
      <c r="D5" s="13">
        <f>'reclas promo CenB au 01_01_2016'!D5</f>
        <v>0</v>
      </c>
      <c r="E5">
        <f>(B5*360)+(30*C5)+D5</f>
        <v>0</v>
      </c>
      <c r="F5" s="17" t="s">
        <v>108</v>
      </c>
      <c r="I5" t="s">
        <v>9</v>
      </c>
      <c r="J5" t="s">
        <v>10</v>
      </c>
      <c r="K5" t="s">
        <v>11</v>
      </c>
      <c r="T5" s="8" t="s">
        <v>47</v>
      </c>
      <c r="U5" s="8"/>
      <c r="V5" s="8"/>
    </row>
    <row r="6" spans="1:22" ht="12.75">
      <c r="A6" s="15" t="s">
        <v>115</v>
      </c>
      <c r="B6" s="15">
        <f>VLOOKUP(B2,$A$75:$D$83,4,1)</f>
        <v>4</v>
      </c>
      <c r="C6" s="15"/>
      <c r="D6" s="15"/>
      <c r="E6">
        <f>B6*365</f>
        <v>1460</v>
      </c>
      <c r="F6" s="17" t="s">
        <v>108</v>
      </c>
      <c r="K6" t="s">
        <v>13</v>
      </c>
      <c r="L6" t="s">
        <v>14</v>
      </c>
      <c r="M6" t="s">
        <v>15</v>
      </c>
      <c r="N6" t="s">
        <v>16</v>
      </c>
      <c r="T6" s="8">
        <v>1</v>
      </c>
      <c r="U6" s="8">
        <v>12</v>
      </c>
      <c r="V6" s="8" t="s">
        <v>17</v>
      </c>
    </row>
    <row r="7" spans="1:22" ht="12.75">
      <c r="A7" t="s">
        <v>116</v>
      </c>
      <c r="B7" s="117">
        <f>1+D3+E6-E5</f>
        <v>43132</v>
      </c>
      <c r="C7" s="124" t="s">
        <v>106</v>
      </c>
      <c r="D7" s="117">
        <f>B7</f>
        <v>43132</v>
      </c>
      <c r="E7" s="143">
        <v>42826</v>
      </c>
      <c r="I7">
        <v>1</v>
      </c>
      <c r="J7">
        <v>2</v>
      </c>
      <c r="K7" s="11">
        <v>1</v>
      </c>
      <c r="L7">
        <v>0</v>
      </c>
      <c r="M7">
        <v>1</v>
      </c>
      <c r="N7">
        <f>VLOOKUP(J7,$T$6:$U$15,2,1)</f>
        <v>12</v>
      </c>
      <c r="T7" s="8">
        <v>2</v>
      </c>
      <c r="U7" s="8">
        <v>12</v>
      </c>
      <c r="V7" s="8" t="s">
        <v>17</v>
      </c>
    </row>
    <row r="8" spans="9:22" ht="12.75">
      <c r="I8">
        <v>2</v>
      </c>
      <c r="J8">
        <v>3</v>
      </c>
      <c r="K8" s="11">
        <v>0</v>
      </c>
      <c r="L8">
        <v>0</v>
      </c>
      <c r="M8">
        <v>2</v>
      </c>
      <c r="N8">
        <f aca="true" t="shared" si="0" ref="N8:N14">VLOOKUP(J8,$T$6:$U$15,2,1)</f>
        <v>24</v>
      </c>
      <c r="T8" s="8">
        <v>3</v>
      </c>
      <c r="U8" s="8">
        <v>24</v>
      </c>
      <c r="V8" s="8" t="s">
        <v>19</v>
      </c>
    </row>
    <row r="9" spans="1:22" ht="12.75">
      <c r="A9" s="60" t="s">
        <v>167</v>
      </c>
      <c r="B9" s="229" t="str">
        <f>IF(D7&gt;B50,IF(D7&lt;E7,"OUI","NON"),"NON")</f>
        <v>NON</v>
      </c>
      <c r="I9">
        <v>3</v>
      </c>
      <c r="J9">
        <v>3</v>
      </c>
      <c r="K9" s="11">
        <v>1</v>
      </c>
      <c r="L9">
        <v>0</v>
      </c>
      <c r="M9">
        <v>2</v>
      </c>
      <c r="N9">
        <f t="shared" si="0"/>
        <v>24</v>
      </c>
      <c r="T9" s="8">
        <v>4</v>
      </c>
      <c r="U9" s="8">
        <v>24</v>
      </c>
      <c r="V9" s="8" t="s">
        <v>19</v>
      </c>
    </row>
    <row r="10" spans="1:22" ht="12.75">
      <c r="A10" t="s">
        <v>137</v>
      </c>
      <c r="B10" t="e">
        <f>IF(YEAR(F10)=2016,B2+1,B2)</f>
        <v>#VALUE!</v>
      </c>
      <c r="E10" t="s">
        <v>168</v>
      </c>
      <c r="F10" s="143" t="e">
        <f>D7-B12</f>
        <v>#VALUE!</v>
      </c>
      <c r="I10">
        <v>4</v>
      </c>
      <c r="J10">
        <v>4</v>
      </c>
      <c r="K10" s="11">
        <v>1</v>
      </c>
      <c r="L10">
        <v>0</v>
      </c>
      <c r="M10">
        <v>2</v>
      </c>
      <c r="N10">
        <f t="shared" si="0"/>
        <v>24</v>
      </c>
      <c r="T10" s="8">
        <v>5</v>
      </c>
      <c r="U10" s="8">
        <v>24</v>
      </c>
      <c r="V10" s="8" t="s">
        <v>19</v>
      </c>
    </row>
    <row r="11" spans="1:22" ht="12.75">
      <c r="A11" t="s">
        <v>136</v>
      </c>
      <c r="B11" s="117" t="e">
        <f>IF(YEAR(F10)=2016,F10,B3)</f>
        <v>#VALUE!</v>
      </c>
      <c r="D11" s="117" t="e">
        <f>B11</f>
        <v>#VALUE!</v>
      </c>
      <c r="E11" t="s">
        <v>169</v>
      </c>
      <c r="F11" s="143" t="e">
        <f>F10-(E5+E6)</f>
        <v>#VALUE!</v>
      </c>
      <c r="I11">
        <v>5</v>
      </c>
      <c r="J11">
        <f>IF(E54&lt;(1.5*365),5,6)</f>
        <v>6</v>
      </c>
      <c r="K11" s="11">
        <f>IF(E54&lt;(1.5*365),4/3,1)</f>
        <v>1</v>
      </c>
      <c r="L11">
        <f>IF(E54&lt;(1.5*365),0,-1.5)</f>
        <v>-1.5</v>
      </c>
      <c r="M11">
        <v>2</v>
      </c>
      <c r="N11">
        <f t="shared" si="0"/>
        <v>24</v>
      </c>
      <c r="T11" s="8">
        <v>6</v>
      </c>
      <c r="U11" s="8">
        <v>24</v>
      </c>
      <c r="V11" s="8" t="s">
        <v>19</v>
      </c>
    </row>
    <row r="12" spans="1:22" ht="12.75">
      <c r="A12" t="s">
        <v>170</v>
      </c>
      <c r="B12">
        <f>IF(B9="OUI",IF($F$3=2014,60,IF($F$3=2013,90,IF($F$3=2012,120,IF($F$3=2015,30,IF($F$3=2011,150,IF($F$3=2010,180,IF($F$3=2016,0,"date effet antérieure à 2010?"))))))),"")</f>
      </c>
      <c r="I12">
        <v>6</v>
      </c>
      <c r="J12">
        <v>7</v>
      </c>
      <c r="K12" s="11">
        <v>1</v>
      </c>
      <c r="L12">
        <v>0</v>
      </c>
      <c r="M12">
        <v>3</v>
      </c>
      <c r="N12">
        <f t="shared" si="0"/>
        <v>36</v>
      </c>
      <c r="T12" s="8">
        <v>7</v>
      </c>
      <c r="U12" s="35">
        <v>36</v>
      </c>
      <c r="V12" s="35" t="s">
        <v>24</v>
      </c>
    </row>
    <row r="13" spans="2:22" ht="12.75">
      <c r="B13" s="16" t="s">
        <v>21</v>
      </c>
      <c r="C13" s="16" t="s">
        <v>22</v>
      </c>
      <c r="D13" s="16" t="s">
        <v>23</v>
      </c>
      <c r="I13">
        <v>7</v>
      </c>
      <c r="J13">
        <v>8</v>
      </c>
      <c r="K13" s="11">
        <f>3/4</f>
        <v>0.75</v>
      </c>
      <c r="L13">
        <v>0</v>
      </c>
      <c r="M13">
        <v>3</v>
      </c>
      <c r="N13">
        <f t="shared" si="0"/>
        <v>36</v>
      </c>
      <c r="T13" s="8">
        <v>8</v>
      </c>
      <c r="U13" s="35">
        <v>36</v>
      </c>
      <c r="V13" s="35" t="s">
        <v>24</v>
      </c>
    </row>
    <row r="14" spans="1:22" ht="12.75">
      <c r="A14" t="str">
        <f>IF(B9="NON","Nouveau Reliquat d’ancienneté","Reliquat d’ancienneté détenu au "&amp;DAY(B11)&amp;"/"&amp;MONTH(B11)&amp;"/"&amp;YEAR(B11))</f>
        <v>Nouveau Reliquat d’ancienneté</v>
      </c>
      <c r="B14" s="228">
        <f>IF(B9="OUI",0,"")</f>
      </c>
      <c r="C14" s="228">
        <f>IF(B9="OUI",0,"")</f>
      </c>
      <c r="D14" s="228">
        <f>IF(B9="OUI",0,"")</f>
      </c>
      <c r="I14">
        <v>8</v>
      </c>
      <c r="J14">
        <v>9</v>
      </c>
      <c r="K14" s="11">
        <f>3/4</f>
        <v>0.75</v>
      </c>
      <c r="L14">
        <v>0</v>
      </c>
      <c r="M14">
        <v>3</v>
      </c>
      <c r="N14">
        <f t="shared" si="0"/>
        <v>36</v>
      </c>
      <c r="T14" s="8">
        <v>9</v>
      </c>
      <c r="U14" s="35">
        <v>36</v>
      </c>
      <c r="V14" s="35" t="s">
        <v>24</v>
      </c>
    </row>
    <row r="15" spans="9:20" ht="12.75">
      <c r="I15">
        <v>9</v>
      </c>
      <c r="J15">
        <v>10</v>
      </c>
      <c r="K15" s="11">
        <v>1</v>
      </c>
      <c r="L15">
        <v>0</v>
      </c>
      <c r="M15">
        <v>100</v>
      </c>
      <c r="N15">
        <v>100</v>
      </c>
      <c r="T15" s="8">
        <v>10</v>
      </c>
    </row>
    <row r="16" spans="1:20" ht="12.75">
      <c r="A16" t="s">
        <v>141</v>
      </c>
      <c r="K16" s="11"/>
      <c r="T16" s="8"/>
    </row>
    <row r="17" spans="1:20" ht="12.75">
      <c r="A17" t="s">
        <v>145</v>
      </c>
      <c r="K17" s="11"/>
      <c r="T17" s="8"/>
    </row>
    <row r="18" spans="11:20" ht="12.75">
      <c r="K18" s="11"/>
      <c r="T18" s="8"/>
    </row>
    <row r="19" spans="1:20" ht="12.75">
      <c r="A19" s="60" t="s">
        <v>135</v>
      </c>
      <c r="B19" s="229" t="s">
        <v>152</v>
      </c>
      <c r="C19" s="60" t="s">
        <v>153</v>
      </c>
      <c r="K19" s="11"/>
      <c r="T19" s="8"/>
    </row>
    <row r="20" spans="1:20" ht="12.75">
      <c r="A20" s="60" t="s">
        <v>157</v>
      </c>
      <c r="B20" s="229" t="s">
        <v>152</v>
      </c>
      <c r="C20" s="60" t="s">
        <v>153</v>
      </c>
      <c r="K20" s="11"/>
      <c r="T20" s="8"/>
    </row>
    <row r="21" spans="1:20" ht="15" customHeight="1">
      <c r="A21" s="60" t="s">
        <v>154</v>
      </c>
      <c r="B21" s="229" t="str">
        <f>IF($B$7&lt;$B$50,IF(B9="oui","NON","OUI"),"NON")</f>
        <v>NON</v>
      </c>
      <c r="K21" s="11"/>
      <c r="T21" s="8"/>
    </row>
    <row r="22" spans="1:20" ht="15" customHeight="1">
      <c r="A22" t="s">
        <v>147</v>
      </c>
      <c r="B22" t="str">
        <f>IF(B21="NON","sans objet",IF($F$3=2014,60,IF($F$3=2013,90,IF($F$3=2012,120,IF($F$3=2015,30,IF($F$3=2011,150,IF($F$3=2010,180,IF($F$3=2016,0,"date effet antérieure à 2010?"))))))))</f>
        <v>sans objet</v>
      </c>
      <c r="K22" s="11"/>
      <c r="T22" s="8"/>
    </row>
    <row r="23" spans="1:20" ht="12.75">
      <c r="A23" t="s">
        <v>137</v>
      </c>
      <c r="B23" t="str">
        <f>IF($D$7&lt;$B$50,B2+1,"sans objet")</f>
        <v>sans objet</v>
      </c>
      <c r="K23" s="11"/>
      <c r="T23" s="8"/>
    </row>
    <row r="24" spans="1:20" ht="12.75">
      <c r="A24" t="s">
        <v>136</v>
      </c>
      <c r="B24" s="143" t="str">
        <f>IF(B21="oui",B7-B22,"sans objet")</f>
        <v>sans objet</v>
      </c>
      <c r="K24" s="11"/>
      <c r="T24" s="8"/>
    </row>
    <row r="25" spans="2:22" ht="12.75">
      <c r="B25" s="16" t="s">
        <v>21</v>
      </c>
      <c r="C25" s="16" t="s">
        <v>22</v>
      </c>
      <c r="D25" s="16" t="s">
        <v>23</v>
      </c>
      <c r="T25" s="8"/>
      <c r="U25" s="35"/>
      <c r="V25" s="35"/>
    </row>
    <row r="26" spans="1:22" ht="12.75">
      <c r="A26" t="str">
        <f>IF(B21="NON","Nouveau Reliquat d’ancienneté","Reliquat d’ancienneté détenu au "&amp;DAY(B24)&amp;"/"&amp;MONTH(B24)&amp;"/"&amp;YEAR(B24))</f>
        <v>Nouveau Reliquat d’ancienneté</v>
      </c>
      <c r="B26" s="173">
        <v>0</v>
      </c>
      <c r="C26" s="173">
        <v>0</v>
      </c>
      <c r="D26" s="174">
        <v>0</v>
      </c>
      <c r="E26">
        <v>0</v>
      </c>
      <c r="F26" s="17" t="str">
        <f>IF(B26="sans objet","","jours")</f>
        <v>jours</v>
      </c>
      <c r="T26" s="8"/>
      <c r="U26" s="35"/>
      <c r="V26" s="35"/>
    </row>
    <row r="27" spans="1:22" ht="12.75">
      <c r="A27" t="s">
        <v>141</v>
      </c>
      <c r="T27" s="8"/>
      <c r="U27" s="35"/>
      <c r="V27" s="35"/>
    </row>
    <row r="28" spans="1:22" ht="12.75">
      <c r="A28" t="s">
        <v>145</v>
      </c>
      <c r="T28" s="8"/>
      <c r="U28" s="35"/>
      <c r="V28" s="35"/>
    </row>
    <row r="29" spans="20:22" ht="12.75">
      <c r="T29" s="8"/>
      <c r="U29" s="35"/>
      <c r="V29" s="35"/>
    </row>
    <row r="30" spans="1:22" ht="12.75">
      <c r="A30" s="60" t="s">
        <v>155</v>
      </c>
      <c r="B30" s="229" t="str">
        <f>IF(B7=B50,IF(B9="oui","NON","OUI"),"NON")</f>
        <v>NON</v>
      </c>
      <c r="T30" s="8"/>
      <c r="U30" s="35"/>
      <c r="V30" s="35"/>
    </row>
    <row r="31" spans="1:22" ht="12.75">
      <c r="A31" t="s">
        <v>137</v>
      </c>
      <c r="B31" t="str">
        <f>IF(B30="OUI",B2+1,"sans objet")</f>
        <v>sans objet</v>
      </c>
      <c r="T31" s="8"/>
      <c r="U31" s="35"/>
      <c r="V31" s="35"/>
    </row>
    <row r="32" spans="1:22" ht="12.75">
      <c r="A32" t="s">
        <v>136</v>
      </c>
      <c r="B32" s="143" t="str">
        <f>IF(B30="oui",B50-B33,"sans objet")</f>
        <v>sans objet</v>
      </c>
      <c r="T32" s="8"/>
      <c r="U32" s="35"/>
      <c r="V32" s="35"/>
    </row>
    <row r="33" spans="1:22" ht="12.75">
      <c r="A33" t="s">
        <v>147</v>
      </c>
      <c r="B33" t="str">
        <f>IF(B30="NON","sans objet",IF($F$3=2014,60,IF($F$3=2013,90,IF($F$3=2012,120,IF($F$3=2015,30,IF($F$3=2011,150,IF($F$3=2010,180,IF($F$3=2016,0,"date effet antérieure à 2010?"))))))))</f>
        <v>sans objet</v>
      </c>
      <c r="T33" s="8"/>
      <c r="U33" s="35"/>
      <c r="V33" s="35"/>
    </row>
    <row r="34" spans="2:22" ht="12.75">
      <c r="B34" s="16" t="s">
        <v>21</v>
      </c>
      <c r="C34" s="16" t="s">
        <v>22</v>
      </c>
      <c r="D34" s="16" t="s">
        <v>23</v>
      </c>
      <c r="T34" s="8"/>
      <c r="U34" s="35"/>
      <c r="V34" s="35"/>
    </row>
    <row r="35" spans="1:22" ht="12.75">
      <c r="A35" t="str">
        <f>IF(B30="NON","Nouveau Reliquat d’ancienneté","Reliquat d’ancienneté détenu au "&amp;DAY(B32)&amp;"/"&amp;MONTH(B32)&amp;"/"&amp;YEAR(B32))</f>
        <v>Nouveau Reliquat d’ancienneté</v>
      </c>
      <c r="B35" s="173">
        <v>0</v>
      </c>
      <c r="C35" s="173">
        <v>0</v>
      </c>
      <c r="D35" s="174">
        <v>0</v>
      </c>
      <c r="E35">
        <v>0</v>
      </c>
      <c r="F35" s="17" t="str">
        <f>IF(B35="sans objet","","jours")</f>
        <v>jours</v>
      </c>
      <c r="T35" s="8"/>
      <c r="U35" s="35"/>
      <c r="V35" s="35"/>
    </row>
    <row r="36" spans="1:22" ht="12.75">
      <c r="A36" t="s">
        <v>141</v>
      </c>
      <c r="T36" s="8"/>
      <c r="U36" s="35"/>
      <c r="V36" s="35"/>
    </row>
    <row r="37" spans="1:22" ht="12.75">
      <c r="A37" t="s">
        <v>145</v>
      </c>
      <c r="L37" s="11"/>
      <c r="T37" s="8"/>
      <c r="U37" s="8"/>
      <c r="V37" s="8"/>
    </row>
    <row r="38" spans="12:22" ht="12.75">
      <c r="L38" s="11"/>
      <c r="T38" s="8"/>
      <c r="U38" s="8"/>
      <c r="V38" s="8"/>
    </row>
    <row r="39" spans="1:12" ht="12">
      <c r="A39" s="60" t="s">
        <v>158</v>
      </c>
      <c r="B39" s="229" t="str">
        <f>IF(B7&gt;B50,IF(B9="oui","NON","OUI"),"NON")</f>
        <v>OUI</v>
      </c>
      <c r="L39" s="11"/>
    </row>
    <row r="40" spans="1:12" ht="12">
      <c r="A40" t="s">
        <v>149</v>
      </c>
      <c r="L40" s="11"/>
    </row>
    <row r="41" ht="12">
      <c r="L41" s="11"/>
    </row>
    <row r="42" ht="12">
      <c r="A42" s="60" t="s">
        <v>117</v>
      </c>
    </row>
    <row r="43" spans="1:2" ht="12">
      <c r="A43" s="231" t="s">
        <v>118</v>
      </c>
      <c r="B43" s="231">
        <f>IF($B$19="OUI",0,IF($B$20="oui",0,IF($B$21="OUI",B23,IF($B$30="oui",B31,IF($B$39="oui",B2,IF($B$9="oui",B10,"pb"))))))</f>
        <v>7</v>
      </c>
    </row>
    <row r="44" spans="1:12" ht="12.75">
      <c r="A44" s="231" t="s">
        <v>138</v>
      </c>
      <c r="B44" s="232">
        <f>IF($B$19="OUI","pb",IF($B$20="oui","pb",IF(B21="oui",B24,IF(B30="oui",B32,IF($B$39="oui",B3,IF($B$9="oui",B11,"pb"))))))</f>
        <v>41671</v>
      </c>
      <c r="C44" t="str">
        <f>IF(B44="sans objet","","soit")</f>
        <v>soit</v>
      </c>
      <c r="D44">
        <f>IF(B44="sans objet","",B44)</f>
        <v>41671</v>
      </c>
      <c r="L44" s="11"/>
    </row>
    <row r="45" spans="2:4" ht="12.75">
      <c r="B45" s="233" t="s">
        <v>21</v>
      </c>
      <c r="C45" s="234" t="s">
        <v>22</v>
      </c>
      <c r="D45" s="235" t="s">
        <v>23</v>
      </c>
    </row>
    <row r="46" spans="1:6" ht="12">
      <c r="A46" s="231" t="s">
        <v>139</v>
      </c>
      <c r="B46" s="236">
        <f>IF($B$19="OUI",0,IF($B$20="oui",0,IF($B$21="oui",B26,IF($B$30="oui",B35,IF($B$39="oui",B5,IF($B$9="oui",B14,"pb"))))))</f>
        <v>0</v>
      </c>
      <c r="C46" s="236">
        <f>IF($B$19="OUI",0,IF($B$20="oui",0,IF($B$21="oui",C26,IF($B$30="oui",C35,IF($B$39="oui",C5,IF($B$9="oui",B14,"pb"))))))</f>
        <v>0</v>
      </c>
      <c r="D46" s="236">
        <f>IF($B$19="OUI",0,IF($B$20="oui",0,IF($B$21="oui",D26,IF($B$30="oui",D35,IF($B$39="oui",D5,IF($B$9="oui",B14,"pb"))))))</f>
        <v>0</v>
      </c>
      <c r="E46">
        <f>IF($B$19="OUI",0,IF($B$20="oui",0,IF($B$21="oui",E26,IF($B$30="oui",E35,IF($B$39="oui",E5,IF($B$9="oui",B14,"pb"))))))</f>
        <v>0</v>
      </c>
      <c r="F46" s="267" t="s">
        <v>108</v>
      </c>
    </row>
    <row r="50" spans="1:4" ht="12.75">
      <c r="A50" s="191" t="s">
        <v>119</v>
      </c>
      <c r="B50" s="192">
        <v>42736</v>
      </c>
      <c r="C50" t="s">
        <v>106</v>
      </c>
      <c r="D50" s="71">
        <f>B50</f>
        <v>42736</v>
      </c>
    </row>
    <row r="51" spans="2:4" ht="12.75">
      <c r="B51" s="233" t="s">
        <v>21</v>
      </c>
      <c r="C51" s="234" t="s">
        <v>22</v>
      </c>
      <c r="D51" s="235" t="s">
        <v>23</v>
      </c>
    </row>
    <row r="52" spans="1:6" ht="12">
      <c r="A52" s="263" t="s">
        <v>159</v>
      </c>
      <c r="B52" s="264">
        <f>TRUNC(E52/360)</f>
        <v>0</v>
      </c>
      <c r="C52" s="264">
        <f>TRUNC((E52/30)-(12*B52))</f>
        <v>2</v>
      </c>
      <c r="D52" s="265">
        <f>E52-((B52*360)+(C52*30))</f>
        <v>0</v>
      </c>
      <c r="E52">
        <f>IF(B39="oui",IF($F$3=2014,60,IF($F$3=2013,90,IF($F$3=2012,120,IF($F$3=2015,30,IF($F$3=2011,150,IF($F$3=2010,180,IF($F$3=2016,0,"date effet antérieure à 2010?"))))))),0)</f>
        <v>60</v>
      </c>
      <c r="F52" t="str">
        <f>IF(B39="oui","jours de bonif","")</f>
        <v>jours de bonif</v>
      </c>
    </row>
    <row r="53" spans="1:6" ht="12.75">
      <c r="A53" s="15"/>
      <c r="B53" s="16" t="s">
        <v>21</v>
      </c>
      <c r="C53" s="16" t="s">
        <v>22</v>
      </c>
      <c r="D53" s="16" t="s">
        <v>23</v>
      </c>
      <c r="E53" s="18">
        <v>30</v>
      </c>
      <c r="F53" s="18" t="s">
        <v>184</v>
      </c>
    </row>
    <row r="54" spans="1:6" ht="12.75">
      <c r="A54" s="19" t="str">
        <f>"Durée dans l’échelon "&amp;B43&amp;" à la veille du reclassement"</f>
        <v>Durée dans l’échelon 7 à la veille du reclassement</v>
      </c>
      <c r="B54" s="173">
        <f>TRUNC(E54/360)</f>
        <v>3</v>
      </c>
      <c r="C54" s="173">
        <f>TRUNC((E54/30)-(12*B54))</f>
        <v>2</v>
      </c>
      <c r="D54" s="174">
        <f>E54-((B54*360)+(C54*30))</f>
        <v>0</v>
      </c>
      <c r="E54">
        <f>E53+E52+E46+DAYS360(D44,D50-1)</f>
        <v>1140</v>
      </c>
      <c r="F54" s="17" t="s">
        <v>108</v>
      </c>
    </row>
    <row r="55" spans="1:2" ht="12">
      <c r="A55" s="223" t="s">
        <v>29</v>
      </c>
      <c r="B55">
        <f>E54</f>
        <v>1140</v>
      </c>
    </row>
    <row r="56" spans="1:3" ht="12">
      <c r="A56" t="s">
        <v>32</v>
      </c>
      <c r="B56" s="23">
        <f>IF(B1=6,MIN(VLOOKUP(B43,$I$7:$N$15,3,1)*B55+360*VLOOKUP(B43,$I$7:$N$15,4,1),VLOOKUP(B43,$I$7:$N$15,5,1)*360),IF(AND(B55&gt;=VLOOKUP(B43,$J$37:$P$42,2,1),VLOOKUP(B43,$J$37:$P$42,2,1)&lt;&gt;0),B55-VLOOKUP(B43,$J$37:$P$42,2,1),MIN(VLOOKUP(B43,$J$37:$P$42,4,1)*B55+360*VLOOKUP(B43,$J$37:$P$42,5,1),VLOOKUP(B43,$J$37:$P$42,6,1)*360)))</f>
        <v>855</v>
      </c>
      <c r="C56" t="s">
        <v>120</v>
      </c>
    </row>
    <row r="57" spans="1:2" ht="12">
      <c r="A57" t="s">
        <v>34</v>
      </c>
      <c r="B57" s="22" t="b">
        <f>IF(B1=6,B56=VLOOKUP(B43,$I$7:$N$15,6,1)*30,IF(AND(E52&gt;=VLOOKUP(B43,$J$37:$P$42,2,1),VLOOKUP(B43,$J$37:$P$42,2,1)&lt;&gt;0),VLOOKUP(B43+1,$J$37:$P$42,7,1)*30=B56,VLOOKUP(B43,$J$37:$P$42,7,1)*30=B56))</f>
        <v>0</v>
      </c>
    </row>
    <row r="58" spans="1:3" ht="12">
      <c r="A58" t="s">
        <v>35</v>
      </c>
      <c r="B58" s="23">
        <f>ROUND(IF(B57,0,B56),0)</f>
        <v>855</v>
      </c>
      <c r="C58" t="s">
        <v>121</v>
      </c>
    </row>
    <row r="59" spans="1:2" ht="12">
      <c r="A59" t="s">
        <v>37</v>
      </c>
      <c r="B59">
        <f>IF(B1=6,VLOOKUP(B43,$I$7:$N$15,2,1),IF(AND(B55&gt;=VLOOKUP(B43,$J$37:$P$42,2,1),VLOOKUP(B43,$J$37:$P$42,2,1)&lt;&gt;0),VLOOKUP(B43,$J$37:$P$42,3,1)+1,VLOOKUP(B43,$J$37:$P$42,3,1)))</f>
        <v>8</v>
      </c>
    </row>
    <row r="62" ht="12.75" thickBot="1"/>
    <row r="63" spans="1:4" ht="13.5" customHeight="1">
      <c r="A63" s="246" t="s">
        <v>122</v>
      </c>
      <c r="B63" s="247">
        <f>IF(B57,B59+1,B59)</f>
        <v>8</v>
      </c>
      <c r="C63" s="248"/>
      <c r="D63" s="249"/>
    </row>
    <row r="64" spans="1:4" ht="12">
      <c r="A64" s="250"/>
      <c r="B64" s="251"/>
      <c r="C64" s="251"/>
      <c r="D64" s="252"/>
    </row>
    <row r="65" spans="1:4" ht="12.75">
      <c r="A65" s="253"/>
      <c r="B65" s="204" t="s">
        <v>21</v>
      </c>
      <c r="C65" s="204" t="s">
        <v>22</v>
      </c>
      <c r="D65" s="254" t="s">
        <v>23</v>
      </c>
    </row>
    <row r="66" spans="1:5" ht="12.75">
      <c r="A66" s="255" t="s">
        <v>29</v>
      </c>
      <c r="B66" s="245">
        <f>INT(B58/360)</f>
        <v>2</v>
      </c>
      <c r="C66" s="245">
        <f>INT((B58-B66*360)/30)</f>
        <v>4</v>
      </c>
      <c r="D66" s="256">
        <f>B58-B66*360-C66*30</f>
        <v>15</v>
      </c>
      <c r="E66">
        <f>(B66*360)+(C66*30)+D66</f>
        <v>855</v>
      </c>
    </row>
    <row r="67" spans="1:6" ht="12">
      <c r="A67" s="257" t="s">
        <v>115</v>
      </c>
      <c r="B67" s="243">
        <f>VLOOKUP(B63,$J$7:$M$14,4,1)</f>
        <v>3</v>
      </c>
      <c r="C67" s="244"/>
      <c r="D67" s="258"/>
      <c r="E67">
        <f>B67*360</f>
        <v>1080</v>
      </c>
      <c r="F67" s="17" t="s">
        <v>108</v>
      </c>
    </row>
    <row r="68" spans="1:4" ht="13.5" thickBot="1">
      <c r="A68" s="259" t="s">
        <v>116</v>
      </c>
      <c r="B68" s="260">
        <f>B50+E67-E66</f>
        <v>42961</v>
      </c>
      <c r="C68" s="261" t="s">
        <v>106</v>
      </c>
      <c r="D68" s="262">
        <f>B68</f>
        <v>42961</v>
      </c>
    </row>
    <row r="70" ht="12.75">
      <c r="A70" s="177"/>
    </row>
    <row r="72" ht="12.75" thickBot="1">
      <c r="A72" s="60" t="s">
        <v>123</v>
      </c>
    </row>
    <row r="73" spans="1:4" ht="15.75" thickBot="1">
      <c r="A73" s="242" t="s">
        <v>124</v>
      </c>
      <c r="B73" s="242"/>
      <c r="C73" s="242"/>
      <c r="D73" s="242"/>
    </row>
    <row r="74" spans="1:4" ht="24.75" thickBot="1">
      <c r="A74" s="40" t="s">
        <v>48</v>
      </c>
      <c r="B74" s="41" t="s">
        <v>49</v>
      </c>
      <c r="C74" s="41" t="s">
        <v>50</v>
      </c>
      <c r="D74" s="42" t="s">
        <v>51</v>
      </c>
    </row>
    <row r="75" spans="1:4" ht="12">
      <c r="A75" s="53">
        <v>1</v>
      </c>
      <c r="B75" s="53">
        <v>364</v>
      </c>
      <c r="C75" s="53">
        <v>338</v>
      </c>
      <c r="D75" s="53">
        <v>1</v>
      </c>
    </row>
    <row r="76" spans="1:4" ht="12">
      <c r="A76" s="53">
        <v>2</v>
      </c>
      <c r="B76" s="53">
        <v>374</v>
      </c>
      <c r="C76" s="53">
        <v>345</v>
      </c>
      <c r="D76" s="53">
        <v>1</v>
      </c>
    </row>
    <row r="77" spans="1:4" ht="12">
      <c r="A77" s="53">
        <v>3</v>
      </c>
      <c r="B77" s="53">
        <v>388</v>
      </c>
      <c r="C77" s="53">
        <v>355</v>
      </c>
      <c r="D77" s="53">
        <v>2</v>
      </c>
    </row>
    <row r="78" spans="1:4" ht="12">
      <c r="A78" s="53">
        <v>4</v>
      </c>
      <c r="B78" s="53">
        <v>416</v>
      </c>
      <c r="C78" s="53">
        <v>370</v>
      </c>
      <c r="D78" s="53">
        <v>2</v>
      </c>
    </row>
    <row r="79" spans="1:4" ht="12">
      <c r="A79" s="53">
        <v>5</v>
      </c>
      <c r="B79" s="53">
        <v>437</v>
      </c>
      <c r="C79" s="53">
        <v>385</v>
      </c>
      <c r="D79" s="53">
        <v>3</v>
      </c>
    </row>
    <row r="80" spans="1:4" ht="12">
      <c r="A80" s="53">
        <v>6</v>
      </c>
      <c r="B80" s="53">
        <v>457</v>
      </c>
      <c r="C80" s="53">
        <v>400</v>
      </c>
      <c r="D80" s="53">
        <v>3</v>
      </c>
    </row>
    <row r="81" spans="1:4" ht="12">
      <c r="A81" s="53">
        <v>7</v>
      </c>
      <c r="B81" s="53">
        <v>488</v>
      </c>
      <c r="C81" s="53">
        <v>422</v>
      </c>
      <c r="D81" s="53">
        <v>4</v>
      </c>
    </row>
    <row r="82" spans="1:4" ht="12">
      <c r="A82" s="53">
        <v>8</v>
      </c>
      <c r="B82" s="53">
        <v>506</v>
      </c>
      <c r="C82" s="53">
        <v>436</v>
      </c>
      <c r="D82" s="53">
        <v>4</v>
      </c>
    </row>
    <row r="83" spans="1:4" ht="12">
      <c r="A83" s="53">
        <v>9</v>
      </c>
      <c r="B83" s="53">
        <v>543</v>
      </c>
      <c r="C83" s="53">
        <v>462</v>
      </c>
      <c r="D83" s="53"/>
    </row>
    <row r="95" ht="12">
      <c r="E95" s="71"/>
    </row>
  </sheetData>
  <sheetProtection password="EEF6" sheet="1" objects="1" scenarios="1"/>
  <mergeCells count="2">
    <mergeCell ref="I2:Q3"/>
    <mergeCell ref="T3:V3"/>
  </mergeCells>
  <dataValidations count="7">
    <dataValidation type="date" operator="greaterThan" allowBlank="1" showErrorMessage="1" sqref="B50">
      <formula1>41671</formula1>
    </dataValidation>
    <dataValidation type="whole" allowBlank="1" showErrorMessage="1" sqref="D5">
      <formula1>0</formula1>
      <formula2>29</formula2>
    </dataValidation>
    <dataValidation type="whole" allowBlank="1" showErrorMessage="1" sqref="C5">
      <formula1>0</formula1>
      <formula2>11</formula2>
    </dataValidation>
    <dataValidation type="whole" operator="greaterThanOrEqual" allowBlank="1" showErrorMessage="1" sqref="B5">
      <formula1>0</formula1>
    </dataValidation>
    <dataValidation operator="greaterThanOrEqual" allowBlank="1" showErrorMessage="1" sqref="B3">
      <formula1>0</formula1>
    </dataValidation>
    <dataValidation type="whole" operator="greaterThanOrEqual" allowBlank="1" showErrorMessage="1" sqref="B2">
      <formula1>1</formula1>
    </dataValidation>
    <dataValidation type="list" operator="equal" allowBlank="1" showErrorMessage="1" sqref="B1">
      <formula1>"3,4,5,6"</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V70"/>
  <sheetViews>
    <sheetView workbookViewId="0" topLeftCell="A1">
      <selection activeCell="N23" sqref="N23"/>
    </sheetView>
  </sheetViews>
  <sheetFormatPr defaultColWidth="11.57421875" defaultRowHeight="12.75"/>
  <cols>
    <col min="1" max="1" width="43.28125" style="0" customWidth="1"/>
    <col min="2" max="2" width="10.7109375" style="0" customWidth="1"/>
    <col min="3" max="3" width="39.7109375" style="0" customWidth="1"/>
    <col min="4" max="4" width="10.140625" style="0" customWidth="1"/>
    <col min="5" max="5" width="18.7109375" style="0" customWidth="1"/>
    <col min="6" max="6" width="7.7109375" style="0" customWidth="1"/>
    <col min="7" max="7" width="5.00390625" style="0" customWidth="1"/>
    <col min="8" max="8" width="11.421875" style="0" customWidth="1"/>
    <col min="9" max="9" width="8.7109375" style="0" customWidth="1"/>
    <col min="10" max="10" width="22.8515625" style="0" customWidth="1"/>
    <col min="11" max="11" width="49.7109375" style="0" customWidth="1"/>
    <col min="12" max="12" width="19.8515625" style="0" customWidth="1"/>
    <col min="13" max="13" width="13.421875" style="0" customWidth="1"/>
    <col min="14" max="15" width="25.7109375" style="0" customWidth="1"/>
    <col min="16" max="19" width="11.421875" style="0" customWidth="1"/>
    <col min="20" max="20" width="3.140625" style="0" customWidth="1"/>
    <col min="21" max="21" width="29.28125" style="0" customWidth="1"/>
    <col min="22" max="22" width="6.421875" style="0" customWidth="1"/>
    <col min="23" max="16384" width="11.421875" style="0" customWidth="1"/>
  </cols>
  <sheetData>
    <row r="1" spans="1:22" ht="12.75">
      <c r="A1" s="9" t="s">
        <v>18</v>
      </c>
      <c r="B1" s="10">
        <f>'reclas promo CenB au 01_01_2016'!B1</f>
        <v>6</v>
      </c>
      <c r="D1" s="71"/>
      <c r="T1" s="2"/>
      <c r="U1" s="5" t="s">
        <v>113</v>
      </c>
      <c r="V1" s="4"/>
    </row>
    <row r="2" spans="1:22" ht="12.75" customHeight="1">
      <c r="A2" s="12" t="str">
        <f>"ÉCHELON détenu en tant que cat. C Échelle "&amp;B1</f>
        <v>ÉCHELON détenu en tant que cat. C Échelle 6</v>
      </c>
      <c r="B2" s="13">
        <f>'reclas promo CenB au 01_01_2016'!B2</f>
        <v>7</v>
      </c>
      <c r="I2" s="451" t="s">
        <v>125</v>
      </c>
      <c r="J2" s="451"/>
      <c r="K2" s="451"/>
      <c r="L2" s="451"/>
      <c r="M2" s="451"/>
      <c r="N2" s="451"/>
      <c r="O2" s="451"/>
      <c r="P2" s="451"/>
      <c r="Q2" s="451"/>
      <c r="T2" s="8"/>
      <c r="U2" s="8"/>
      <c r="V2" s="8"/>
    </row>
    <row r="3" spans="1:22" ht="12.75">
      <c r="A3" s="12" t="s">
        <v>20</v>
      </c>
      <c r="B3" s="14">
        <f>'reclas promo CenB au 01_01_2016'!B3</f>
        <v>41671</v>
      </c>
      <c r="C3" t="s">
        <v>106</v>
      </c>
      <c r="D3" s="71">
        <f>B3</f>
        <v>41671</v>
      </c>
      <c r="E3" t="s">
        <v>107</v>
      </c>
      <c r="F3">
        <f>YEAR(B3)</f>
        <v>2014</v>
      </c>
      <c r="I3" s="451"/>
      <c r="J3" s="451"/>
      <c r="K3" s="451"/>
      <c r="L3" s="451"/>
      <c r="M3" s="451"/>
      <c r="N3" s="451"/>
      <c r="O3" s="451"/>
      <c r="P3" s="451"/>
      <c r="Q3" s="451"/>
      <c r="T3" s="452" t="s">
        <v>5</v>
      </c>
      <c r="U3" s="452"/>
      <c r="V3" s="452"/>
    </row>
    <row r="4" spans="21:22" ht="12.75">
      <c r="U4" s="8" t="s">
        <v>7</v>
      </c>
      <c r="V4" s="8" t="s">
        <v>8</v>
      </c>
    </row>
    <row r="5" spans="1:22" ht="12.75">
      <c r="A5" s="15"/>
      <c r="B5" s="16" t="s">
        <v>21</v>
      </c>
      <c r="C5" s="16" t="s">
        <v>22</v>
      </c>
      <c r="D5" s="16" t="s">
        <v>23</v>
      </c>
      <c r="I5" t="s">
        <v>112</v>
      </c>
      <c r="J5" t="s">
        <v>66</v>
      </c>
      <c r="K5" t="s">
        <v>11</v>
      </c>
      <c r="T5" s="8" t="s">
        <v>66</v>
      </c>
      <c r="U5" s="8"/>
      <c r="V5" s="8"/>
    </row>
    <row r="6" spans="1:22" ht="12.75">
      <c r="A6" s="12" t="str">
        <f>"Reliquat d’ancienneté détenu au "&amp;DAY(B3)&amp;"/"&amp;MONTH(B3)&amp;"/"&amp;YEAR(B3)</f>
        <v>Reliquat d’ancienneté détenu au 1/2/2014</v>
      </c>
      <c r="B6" s="13">
        <f>'reclas promo CenB au 01_01_2016'!B5</f>
        <v>0</v>
      </c>
      <c r="C6" s="13">
        <f>'reclas promo CenB au 01_01_2016'!C5</f>
        <v>0</v>
      </c>
      <c r="D6" s="13">
        <f>'reclas promo CenB au 01_01_2016'!D5</f>
        <v>0</v>
      </c>
      <c r="E6">
        <f>(B6*360)+(30*C6)+D6</f>
        <v>0</v>
      </c>
      <c r="F6" s="17" t="s">
        <v>108</v>
      </c>
      <c r="K6" t="s">
        <v>13</v>
      </c>
      <c r="L6" t="s">
        <v>14</v>
      </c>
      <c r="M6" t="s">
        <v>15</v>
      </c>
      <c r="N6" t="s">
        <v>16</v>
      </c>
      <c r="T6" s="8">
        <v>1</v>
      </c>
      <c r="U6" s="8">
        <v>24</v>
      </c>
      <c r="V6" s="8" t="s">
        <v>19</v>
      </c>
    </row>
    <row r="7" spans="9:22" ht="12.75">
      <c r="I7">
        <v>1</v>
      </c>
      <c r="J7">
        <v>1</v>
      </c>
      <c r="K7" s="11">
        <v>0</v>
      </c>
      <c r="L7">
        <v>0</v>
      </c>
      <c r="M7">
        <v>2</v>
      </c>
      <c r="N7">
        <f>VLOOKUP(J7,$T$6:$U$18,2,1)</f>
        <v>24</v>
      </c>
      <c r="T7" s="8">
        <v>2</v>
      </c>
      <c r="U7" s="8">
        <v>24</v>
      </c>
      <c r="V7" s="8" t="s">
        <v>19</v>
      </c>
    </row>
    <row r="8" spans="1:22" ht="12.75">
      <c r="A8" s="12" t="s">
        <v>26</v>
      </c>
      <c r="B8" s="14">
        <v>42370</v>
      </c>
      <c r="C8" t="s">
        <v>106</v>
      </c>
      <c r="D8" s="71">
        <f>B8</f>
        <v>42370</v>
      </c>
      <c r="I8">
        <v>2</v>
      </c>
      <c r="J8">
        <v>1</v>
      </c>
      <c r="K8" s="11">
        <v>1</v>
      </c>
      <c r="L8">
        <v>0</v>
      </c>
      <c r="M8">
        <v>2</v>
      </c>
      <c r="N8">
        <f aca="true" t="shared" si="0" ref="N8:N18">VLOOKUP(J8,$T$6:$U$18,2,1)</f>
        <v>24</v>
      </c>
      <c r="T8" s="8">
        <v>3</v>
      </c>
      <c r="U8" s="8">
        <v>24</v>
      </c>
      <c r="V8" s="8" t="s">
        <v>19</v>
      </c>
    </row>
    <row r="9" spans="9:22" ht="13.5" thickBot="1">
      <c r="I9">
        <v>3</v>
      </c>
      <c r="J9">
        <v>2</v>
      </c>
      <c r="K9" s="11">
        <v>1</v>
      </c>
      <c r="L9">
        <v>0</v>
      </c>
      <c r="M9">
        <v>2</v>
      </c>
      <c r="N9">
        <f t="shared" si="0"/>
        <v>24</v>
      </c>
      <c r="T9" s="8">
        <v>4</v>
      </c>
      <c r="U9" s="8">
        <v>24</v>
      </c>
      <c r="V9" s="8" t="s">
        <v>19</v>
      </c>
    </row>
    <row r="10" spans="1:22" ht="15">
      <c r="A10" s="178" t="s">
        <v>110</v>
      </c>
      <c r="B10" s="179">
        <f>'reclas promo CenB au 01_01_2016'!B90</f>
        <v>10</v>
      </c>
      <c r="C10" s="180"/>
      <c r="D10" s="181"/>
      <c r="I10">
        <v>4</v>
      </c>
      <c r="J10">
        <v>3</v>
      </c>
      <c r="K10" s="11">
        <v>1</v>
      </c>
      <c r="L10">
        <v>0</v>
      </c>
      <c r="M10">
        <v>2</v>
      </c>
      <c r="N10">
        <f t="shared" si="0"/>
        <v>24</v>
      </c>
      <c r="T10" s="8">
        <v>5</v>
      </c>
      <c r="U10" s="8">
        <v>24</v>
      </c>
      <c r="V10" s="8" t="s">
        <v>19</v>
      </c>
    </row>
    <row r="11" spans="1:22" ht="12.75">
      <c r="A11" s="182"/>
      <c r="B11" s="183"/>
      <c r="C11" s="183"/>
      <c r="D11" s="184"/>
      <c r="I11">
        <v>5</v>
      </c>
      <c r="J11">
        <v>4</v>
      </c>
      <c r="K11" s="11">
        <v>1</v>
      </c>
      <c r="L11">
        <v>0</v>
      </c>
      <c r="M11">
        <v>2</v>
      </c>
      <c r="N11">
        <f t="shared" si="0"/>
        <v>24</v>
      </c>
      <c r="T11" s="8">
        <v>6</v>
      </c>
      <c r="U11" s="8">
        <v>24</v>
      </c>
      <c r="V11" s="8" t="s">
        <v>19</v>
      </c>
    </row>
    <row r="12" spans="1:22" ht="12.75">
      <c r="A12" s="185"/>
      <c r="B12" s="186" t="s">
        <v>21</v>
      </c>
      <c r="C12" s="186" t="s">
        <v>22</v>
      </c>
      <c r="D12" s="187" t="s">
        <v>23</v>
      </c>
      <c r="I12">
        <v>6</v>
      </c>
      <c r="J12">
        <v>5</v>
      </c>
      <c r="K12" s="11">
        <v>1</v>
      </c>
      <c r="L12">
        <v>0</v>
      </c>
      <c r="M12">
        <v>2</v>
      </c>
      <c r="N12">
        <f t="shared" si="0"/>
        <v>24</v>
      </c>
      <c r="T12" s="8">
        <v>7</v>
      </c>
      <c r="U12" s="8">
        <v>24</v>
      </c>
      <c r="V12" s="8" t="s">
        <v>19</v>
      </c>
    </row>
    <row r="13" spans="1:22" ht="13.5" thickBot="1">
      <c r="A13" s="215" t="s">
        <v>29</v>
      </c>
      <c r="B13" s="216">
        <f>'reclas promo CenB au 01_01_2016'!B93</f>
        <v>1</v>
      </c>
      <c r="C13" s="216">
        <f>'reclas promo CenB au 01_01_2016'!C93</f>
        <v>11</v>
      </c>
      <c r="D13" s="217">
        <f>'reclas promo CenB au 01_01_2016'!D93</f>
        <v>0</v>
      </c>
      <c r="E13" s="218">
        <f>'reclas promo CenB au 01_01_2016'!E93</f>
        <v>690</v>
      </c>
      <c r="F13" s="17" t="s">
        <v>108</v>
      </c>
      <c r="I13">
        <v>7</v>
      </c>
      <c r="J13">
        <v>6</v>
      </c>
      <c r="K13" s="11">
        <v>1</v>
      </c>
      <c r="L13">
        <v>0</v>
      </c>
      <c r="M13">
        <v>2</v>
      </c>
      <c r="N13">
        <f t="shared" si="0"/>
        <v>24</v>
      </c>
      <c r="T13" s="8">
        <v>8</v>
      </c>
      <c r="U13" s="35">
        <v>36</v>
      </c>
      <c r="V13" s="35" t="s">
        <v>24</v>
      </c>
    </row>
    <row r="14" spans="1:22" ht="12.75">
      <c r="A14" s="15" t="s">
        <v>115</v>
      </c>
      <c r="B14" s="15">
        <f>VLOOKUP(B10,$A$59:$D$70,4,1)</f>
        <v>4</v>
      </c>
      <c r="C14" s="15"/>
      <c r="D14" s="15"/>
      <c r="E14">
        <f>B14*360</f>
        <v>1440</v>
      </c>
      <c r="F14" s="17" t="s">
        <v>108</v>
      </c>
      <c r="I14">
        <v>8</v>
      </c>
      <c r="J14">
        <v>7</v>
      </c>
      <c r="K14" s="11">
        <f>2/3</f>
        <v>0.6666666666666666</v>
      </c>
      <c r="L14">
        <v>0</v>
      </c>
      <c r="M14">
        <v>2</v>
      </c>
      <c r="N14">
        <f t="shared" si="0"/>
        <v>24</v>
      </c>
      <c r="T14" s="8">
        <v>9</v>
      </c>
      <c r="U14" s="35">
        <v>36</v>
      </c>
      <c r="V14" s="35" t="s">
        <v>24</v>
      </c>
    </row>
    <row r="15" spans="1:22" ht="12.75">
      <c r="A15" t="s">
        <v>116</v>
      </c>
      <c r="B15">
        <f>B8+E14-E13</f>
        <v>43120</v>
      </c>
      <c r="C15" t="s">
        <v>106</v>
      </c>
      <c r="D15" s="117">
        <f>B15</f>
        <v>43120</v>
      </c>
      <c r="I15">
        <v>9</v>
      </c>
      <c r="J15">
        <v>8</v>
      </c>
      <c r="K15" s="11">
        <v>1</v>
      </c>
      <c r="L15">
        <v>0</v>
      </c>
      <c r="M15">
        <v>3</v>
      </c>
      <c r="N15">
        <f>VLOOKUP(J15,$T$6:$U$18,2,1)</f>
        <v>36</v>
      </c>
      <c r="T15" s="8">
        <v>10</v>
      </c>
      <c r="U15" s="35">
        <v>36</v>
      </c>
      <c r="V15" s="35" t="s">
        <v>24</v>
      </c>
    </row>
    <row r="16" spans="9:22" ht="12.75">
      <c r="I16">
        <v>10</v>
      </c>
      <c r="J16">
        <f>IF(B38&lt;(3*365),9,10)</f>
        <v>9</v>
      </c>
      <c r="K16" s="11">
        <f>IF(B38&lt;(3*365),1,3)</f>
        <v>1</v>
      </c>
      <c r="L16">
        <f>IF(B38&lt;(3*365),0,-9)</f>
        <v>0</v>
      </c>
      <c r="M16">
        <f>IF(B38&lt;(3*365),3,3)</f>
        <v>3</v>
      </c>
      <c r="N16">
        <f>VLOOKUP(J16,$T$6:$U$18,2,1)</f>
        <v>36</v>
      </c>
      <c r="T16" s="8">
        <v>11</v>
      </c>
      <c r="U16" s="35">
        <v>36</v>
      </c>
      <c r="V16" s="35" t="s">
        <v>24</v>
      </c>
    </row>
    <row r="17" spans="1:22" ht="12.75">
      <c r="A17">
        <f>IF($D$15&lt;$B$32,"ECHELON suivant avant 01/01/2017","")</f>
      </c>
      <c r="B17">
        <f>IF($D$15&lt;$B$32,B10+1,"")</f>
      </c>
      <c r="I17">
        <v>11</v>
      </c>
      <c r="J17">
        <v>11</v>
      </c>
      <c r="K17" s="11">
        <f>3/4</f>
        <v>0.75</v>
      </c>
      <c r="L17">
        <v>0</v>
      </c>
      <c r="M17">
        <v>3</v>
      </c>
      <c r="N17">
        <f t="shared" si="0"/>
        <v>36</v>
      </c>
      <c r="T17" s="8">
        <v>12</v>
      </c>
      <c r="U17" s="8">
        <v>48</v>
      </c>
      <c r="V17" s="35" t="s">
        <v>38</v>
      </c>
    </row>
    <row r="18" spans="1:22" ht="12.75">
      <c r="A18">
        <f>IF($B$32&gt;$D$15,"Date d’effet","")</f>
      </c>
      <c r="B18" s="117">
        <f>IF($B$32&gt;$D$15,D15,"")</f>
      </c>
      <c r="C18">
        <f>IF($B$32&gt;$D$15,"soit","")</f>
      </c>
      <c r="D18" s="117">
        <f>B18</f>
      </c>
      <c r="F18">
        <f>IF($B$32&gt;$D$15,YEAR(B18),"")</f>
      </c>
      <c r="I18">
        <v>12</v>
      </c>
      <c r="J18">
        <v>12</v>
      </c>
      <c r="K18" s="11">
        <v>1</v>
      </c>
      <c r="L18">
        <v>0</v>
      </c>
      <c r="M18">
        <v>4</v>
      </c>
      <c r="N18">
        <f t="shared" si="0"/>
        <v>48</v>
      </c>
      <c r="O18" s="214"/>
      <c r="P18" s="214"/>
      <c r="Q18" s="214"/>
      <c r="T18" s="8">
        <v>13</v>
      </c>
      <c r="U18" s="8"/>
      <c r="V18" s="8"/>
    </row>
    <row r="19" spans="1:22" ht="12.75">
      <c r="A19" s="177"/>
      <c r="I19">
        <v>13</v>
      </c>
      <c r="J19">
        <v>13</v>
      </c>
      <c r="K19" s="11">
        <v>1</v>
      </c>
      <c r="L19">
        <v>0</v>
      </c>
      <c r="M19">
        <v>100</v>
      </c>
      <c r="N19">
        <v>100</v>
      </c>
      <c r="O19" s="214"/>
      <c r="P19" s="214"/>
      <c r="Q19" s="214"/>
      <c r="T19" s="8"/>
      <c r="U19" s="8"/>
      <c r="V19" s="8"/>
    </row>
    <row r="20" spans="2:20" ht="12.75">
      <c r="B20" s="16" t="s">
        <v>21</v>
      </c>
      <c r="C20" s="16" t="s">
        <v>22</v>
      </c>
      <c r="D20" s="16" t="s">
        <v>23</v>
      </c>
      <c r="K20" s="11"/>
      <c r="T20" s="8"/>
    </row>
    <row r="21" spans="1:22" ht="12.75">
      <c r="A21">
        <f>IF($B$32&gt;$D$15,"Reliquat d’ancienneté détenu au "&amp;DAY(B18)&amp;"/"&amp;MONTH(B18)&amp;"/"&amp;YEAR(B18),"")</f>
      </c>
      <c r="B21" s="237">
        <f>IF($B$32&gt;$D$15,TRUNC(E21/360),"")</f>
      </c>
      <c r="C21" s="237">
        <f>IF($B$32&gt;$D$15,TRUNC((E21/30)-(12*B21)),"")</f>
      </c>
      <c r="D21" s="237">
        <f>IF($B$32&gt;$D$15,E21-((B21*360)+(C21*30)),"")</f>
      </c>
      <c r="E21">
        <f>IF($B$32&gt;$D$15,B19,"")</f>
      </c>
      <c r="F21" t="str">
        <f>IF($B$32&gt;$D$15,"","jours")</f>
        <v>jours</v>
      </c>
      <c r="T21" s="8"/>
      <c r="U21" s="8"/>
      <c r="V21" s="8"/>
    </row>
    <row r="22" spans="20:22" ht="12.75">
      <c r="T22" s="8"/>
      <c r="U22" s="8"/>
      <c r="V22" s="8"/>
    </row>
    <row r="23" spans="12:22" ht="12.75">
      <c r="L23" s="11"/>
      <c r="T23" s="8"/>
      <c r="U23" s="8"/>
      <c r="V23" s="8"/>
    </row>
    <row r="24" spans="1:22" ht="12.75">
      <c r="A24" s="60" t="s">
        <v>117</v>
      </c>
      <c r="L24" s="11"/>
      <c r="T24" s="8"/>
      <c r="U24" s="8"/>
      <c r="V24" s="8"/>
    </row>
    <row r="25" spans="1:22" ht="12.75">
      <c r="A25" s="116" t="s">
        <v>118</v>
      </c>
      <c r="B25" s="122">
        <f>IF($B$32&gt;$D$15,B17,B10)</f>
        <v>10</v>
      </c>
      <c r="L25" s="11"/>
      <c r="T25" s="8"/>
      <c r="U25" s="8"/>
      <c r="V25" s="8"/>
    </row>
    <row r="26" spans="1:22" ht="12.75">
      <c r="A26" s="219" t="s">
        <v>20</v>
      </c>
      <c r="B26" s="117">
        <f>IF($B$32&gt;$D$15,B18,B8)</f>
        <v>42370</v>
      </c>
      <c r="C26" t="s">
        <v>106</v>
      </c>
      <c r="D26" s="71">
        <f>B26</f>
        <v>42370</v>
      </c>
      <c r="E26" t="s">
        <v>107</v>
      </c>
      <c r="F26">
        <f>YEAR(B26)</f>
        <v>2016</v>
      </c>
      <c r="L26" s="11"/>
      <c r="T26" s="8"/>
      <c r="U26" s="8"/>
      <c r="V26" s="8"/>
    </row>
    <row r="27" spans="1:22" ht="12.75">
      <c r="A27" s="116"/>
      <c r="B27" s="117" t="s">
        <v>21</v>
      </c>
      <c r="C27" s="117" t="s">
        <v>22</v>
      </c>
      <c r="D27" s="117" t="s">
        <v>23</v>
      </c>
      <c r="L27" s="11"/>
      <c r="T27" s="8"/>
      <c r="U27" s="8"/>
      <c r="V27" s="8"/>
    </row>
    <row r="28" spans="1:22" ht="12.75">
      <c r="A28" s="116" t="str">
        <f>IF($D$8&lt;$B$26,A21,A6)</f>
        <v>Reliquat d’ancienneté détenu au 1/2/2014</v>
      </c>
      <c r="B28" s="228">
        <f>IF($B$32&gt;$D$15,B21,B13)</f>
        <v>1</v>
      </c>
      <c r="C28" s="228">
        <f>IF($B$32&gt;$D$15,C21,C13)</f>
        <v>11</v>
      </c>
      <c r="D28" s="228">
        <f>IF($B$32&gt;$D$15,D21,D13)</f>
        <v>0</v>
      </c>
      <c r="E28">
        <f>IF($B$32&gt;$D$15,E21,E13)</f>
        <v>690</v>
      </c>
      <c r="F28" t="s">
        <v>108</v>
      </c>
      <c r="L28" s="11"/>
      <c r="T28" s="8"/>
      <c r="U28" s="8"/>
      <c r="V28" s="8"/>
    </row>
    <row r="29" spans="12:22" ht="12.75">
      <c r="L29" s="11"/>
      <c r="T29" s="8"/>
      <c r="U29" s="8"/>
      <c r="V29" s="8"/>
    </row>
    <row r="30" spans="12:22" ht="12.75">
      <c r="L30" s="11"/>
      <c r="T30" s="8"/>
      <c r="U30" s="8"/>
      <c r="V30" s="8"/>
    </row>
    <row r="31" ht="12">
      <c r="L31" s="11"/>
    </row>
    <row r="32" spans="1:12" ht="12.75">
      <c r="A32" s="191" t="s">
        <v>119</v>
      </c>
      <c r="B32" s="192">
        <v>42736</v>
      </c>
      <c r="C32" t="s">
        <v>106</v>
      </c>
      <c r="D32" s="71">
        <f>B32</f>
        <v>42736</v>
      </c>
      <c r="L32" s="11"/>
    </row>
    <row r="33" ht="12">
      <c r="L33" s="11"/>
    </row>
    <row r="34" ht="12">
      <c r="L34" s="11"/>
    </row>
    <row r="35" spans="1:6" ht="12.75">
      <c r="A35" s="15"/>
      <c r="B35" s="16" t="s">
        <v>21</v>
      </c>
      <c r="C35" s="16" t="s">
        <v>22</v>
      </c>
      <c r="D35" s="16" t="s">
        <v>23</v>
      </c>
      <c r="E35" s="18"/>
      <c r="F35" s="18"/>
    </row>
    <row r="36" spans="1:6" ht="12.75">
      <c r="A36" s="19" t="str">
        <f>"Durée dans l’échelon "&amp;B25&amp;" à la veille du reclassement"</f>
        <v>Durée dans l’échelon 10 à la veille du reclassement</v>
      </c>
      <c r="B36" s="173">
        <f>TRUNC(E36/360)</f>
        <v>1</v>
      </c>
      <c r="C36" s="173">
        <f>TRUNC((E36/30)-(12*B36))</f>
        <v>0</v>
      </c>
      <c r="D36" s="174">
        <f>E36-((B36*360)+(C36*30))</f>
        <v>0</v>
      </c>
      <c r="E36">
        <f>DAYS360(D26,D32-1)</f>
        <v>360</v>
      </c>
      <c r="F36" s="17" t="s">
        <v>108</v>
      </c>
    </row>
    <row r="37" spans="1:14" ht="12.75">
      <c r="A37" s="19"/>
      <c r="B37" s="173"/>
      <c r="C37" s="173"/>
      <c r="D37" s="174"/>
      <c r="F37" s="17"/>
      <c r="L37" s="11"/>
      <c r="N37" s="11"/>
    </row>
    <row r="38" spans="1:12" ht="12">
      <c r="A38" t="s">
        <v>29</v>
      </c>
      <c r="B38">
        <f>E28+E36</f>
        <v>1050</v>
      </c>
      <c r="L38" s="11"/>
    </row>
    <row r="39" spans="2:12" ht="12">
      <c r="B39" s="22"/>
      <c r="L39" s="11"/>
    </row>
    <row r="40" spans="1:3" ht="12">
      <c r="A40" t="s">
        <v>32</v>
      </c>
      <c r="B40" s="23">
        <f>IF(B1=6,MIN(VLOOKUP(B25,$I$7:$N$19,3,1)*B38+360*VLOOKUP(B25,$I$7:$N$19,4,1),VLOOKUP(B25,$I$7:$N$19,5,1)*360),IF(AND(B38&gt;=VLOOKUP(B25,$J$24:$P$35,2,1),VLOOKUP(B25,$J$24:$P$35,2,1)&lt;&gt;0),B38-VLOOKUP(B25,$J$24:$P$35,2,1),MIN(VLOOKUP(B25,$J$24:$P$35,4,1)*B38+360*VLOOKUP(B25,$J$24:$P$35,5,1),VLOOKUP(B25,$J$24:$P$35,6,1)*360)))</f>
        <v>1050</v>
      </c>
      <c r="C40" t="s">
        <v>120</v>
      </c>
    </row>
    <row r="41" spans="1:2" ht="12">
      <c r="A41" t="s">
        <v>34</v>
      </c>
      <c r="B41" s="22" t="b">
        <f>IF(B1=6,B40=VLOOKUP(B25,$I$7:$N$19,6,1)*30,IF(AND(B38&gt;=VLOOKUP(B25,$J$24:$P$35,2,1),VLOOKUP(B25,$J$24:$P$35,2,1)&lt;&gt;0),VLOOKUP(B25+1,$J$24:$P$35,7,1)*30=B40,VLOOKUP(B25,$J$24:$P$35,7,1)*30=B40))</f>
        <v>0</v>
      </c>
    </row>
    <row r="42" spans="1:3" ht="12">
      <c r="A42" t="s">
        <v>35</v>
      </c>
      <c r="B42" s="23">
        <f>ROUND(IF(B41,0,B40),0)</f>
        <v>1050</v>
      </c>
      <c r="C42" t="s">
        <v>121</v>
      </c>
    </row>
    <row r="43" spans="1:2" ht="12">
      <c r="A43" t="s">
        <v>37</v>
      </c>
      <c r="B43">
        <f>IF(B1=6,VLOOKUP(B25,$I$7:$N$19,2,1),IF(AND(B38&gt;=VLOOKUP(B25,$J$24:$P$35,2,1),VLOOKUP(B25,$J$24:$P$35,2,1)&lt;&gt;0),VLOOKUP(B25,$J$24:$P$35,3,1)+1,VLOOKUP(B25,$J$24:$P$35,3,1)))</f>
        <v>9</v>
      </c>
    </row>
    <row r="45" ht="12.75" thickBot="1"/>
    <row r="46" spans="1:4" ht="12.75">
      <c r="A46" s="193" t="s">
        <v>126</v>
      </c>
      <c r="B46" s="194">
        <f>IF(B41,B43+1,B43)</f>
        <v>9</v>
      </c>
      <c r="C46" s="195"/>
      <c r="D46" s="196"/>
    </row>
    <row r="47" spans="1:4" ht="12">
      <c r="A47" s="197"/>
      <c r="B47" s="198"/>
      <c r="C47" s="198"/>
      <c r="D47" s="199"/>
    </row>
    <row r="48" spans="1:4" ht="12.75">
      <c r="A48" s="200"/>
      <c r="B48" s="201" t="s">
        <v>21</v>
      </c>
      <c r="C48" s="201" t="s">
        <v>22</v>
      </c>
      <c r="D48" s="202" t="s">
        <v>23</v>
      </c>
    </row>
    <row r="49" spans="1:6" ht="25.5">
      <c r="A49" s="203" t="s">
        <v>111</v>
      </c>
      <c r="B49" s="204">
        <f>INT(B42/360)</f>
        <v>2</v>
      </c>
      <c r="C49" s="204">
        <f>INT((B42-B49*360)/30)</f>
        <v>11</v>
      </c>
      <c r="D49" s="205">
        <f>B42-B49*360-C49*30</f>
        <v>0</v>
      </c>
      <c r="E49" s="176">
        <f>(B49*360)+(30*C49)+D49</f>
        <v>1050</v>
      </c>
      <c r="F49" s="17" t="s">
        <v>108</v>
      </c>
    </row>
    <row r="50" spans="1:6" ht="12">
      <c r="A50" s="206" t="s">
        <v>115</v>
      </c>
      <c r="B50" s="207">
        <f>VLOOKUP(B46,$J$7:$M$19,4,1)</f>
        <v>3</v>
      </c>
      <c r="C50" s="208"/>
      <c r="D50" s="209"/>
      <c r="E50">
        <f>B50*360</f>
        <v>1080</v>
      </c>
      <c r="F50" s="17" t="s">
        <v>108</v>
      </c>
    </row>
    <row r="51" spans="1:4" ht="12.75">
      <c r="A51" s="210" t="s">
        <v>116</v>
      </c>
      <c r="B51" s="211">
        <f>B32+E50-E49</f>
        <v>42766</v>
      </c>
      <c r="C51" s="212" t="s">
        <v>106</v>
      </c>
      <c r="D51" s="213">
        <f>B51</f>
        <v>42766</v>
      </c>
    </row>
    <row r="54" spans="2:4" ht="12.75">
      <c r="B54" s="142"/>
      <c r="D54" s="71"/>
    </row>
    <row r="55" ht="12">
      <c r="A55" s="60" t="s">
        <v>123</v>
      </c>
    </row>
    <row r="56" spans="1:4" ht="13.5" customHeight="1">
      <c r="A56" s="453" t="s">
        <v>127</v>
      </c>
      <c r="B56" s="453"/>
      <c r="C56" s="453"/>
      <c r="D56" s="453"/>
    </row>
    <row r="57" spans="1:4" ht="24">
      <c r="A57" s="220" t="s">
        <v>48</v>
      </c>
      <c r="B57" s="221" t="s">
        <v>49</v>
      </c>
      <c r="C57" s="221" t="s">
        <v>50</v>
      </c>
      <c r="D57" s="222" t="s">
        <v>51</v>
      </c>
    </row>
    <row r="58" spans="1:4" ht="12">
      <c r="A58" s="52">
        <v>1</v>
      </c>
      <c r="B58" s="53">
        <v>348</v>
      </c>
      <c r="C58" s="53">
        <v>326</v>
      </c>
      <c r="D58" s="56">
        <v>1</v>
      </c>
    </row>
    <row r="59" spans="1:4" ht="12">
      <c r="A59" s="52">
        <v>2</v>
      </c>
      <c r="B59" s="53">
        <v>352</v>
      </c>
      <c r="C59" s="53">
        <v>329</v>
      </c>
      <c r="D59" s="56">
        <v>2</v>
      </c>
    </row>
    <row r="60" spans="1:4" ht="12">
      <c r="A60" s="52">
        <v>3</v>
      </c>
      <c r="B60" s="53">
        <v>356</v>
      </c>
      <c r="C60" s="53">
        <v>332</v>
      </c>
      <c r="D60" s="56">
        <v>2</v>
      </c>
    </row>
    <row r="61" spans="1:4" ht="12">
      <c r="A61" s="52">
        <v>4</v>
      </c>
      <c r="B61" s="53">
        <v>360</v>
      </c>
      <c r="C61" s="53">
        <v>335</v>
      </c>
      <c r="D61" s="56">
        <v>2</v>
      </c>
    </row>
    <row r="62" spans="1:4" ht="12">
      <c r="A62" s="52">
        <v>5</v>
      </c>
      <c r="B62" s="53">
        <v>374</v>
      </c>
      <c r="C62" s="53">
        <v>345</v>
      </c>
      <c r="D62" s="56">
        <v>2</v>
      </c>
    </row>
    <row r="63" spans="1:4" ht="12">
      <c r="A63" s="52">
        <v>6</v>
      </c>
      <c r="B63" s="53">
        <v>393</v>
      </c>
      <c r="C63" s="53">
        <v>358</v>
      </c>
      <c r="D63" s="56">
        <v>2</v>
      </c>
    </row>
    <row r="64" spans="1:4" ht="12">
      <c r="A64" s="52">
        <v>7</v>
      </c>
      <c r="B64" s="53">
        <v>418</v>
      </c>
      <c r="C64" s="53">
        <v>371</v>
      </c>
      <c r="D64" s="56">
        <v>2</v>
      </c>
    </row>
    <row r="65" spans="1:4" ht="12">
      <c r="A65" s="52">
        <v>8</v>
      </c>
      <c r="B65" s="53">
        <v>438</v>
      </c>
      <c r="C65" s="53">
        <v>386</v>
      </c>
      <c r="D65" s="56">
        <v>3</v>
      </c>
    </row>
    <row r="66" spans="1:4" ht="12">
      <c r="A66" s="52">
        <v>9</v>
      </c>
      <c r="B66" s="53">
        <v>457</v>
      </c>
      <c r="C66" s="53">
        <v>400</v>
      </c>
      <c r="D66" s="56">
        <v>3</v>
      </c>
    </row>
    <row r="67" spans="1:4" ht="12">
      <c r="A67" s="52">
        <v>10</v>
      </c>
      <c r="B67" s="53">
        <v>488</v>
      </c>
      <c r="C67" s="53">
        <v>422</v>
      </c>
      <c r="D67" s="56">
        <v>4</v>
      </c>
    </row>
    <row r="68" spans="1:4" ht="12">
      <c r="A68" s="52">
        <v>11</v>
      </c>
      <c r="B68" s="53">
        <v>516</v>
      </c>
      <c r="C68" s="53">
        <v>443</v>
      </c>
      <c r="D68" s="56">
        <v>4</v>
      </c>
    </row>
    <row r="69" spans="1:4" ht="12">
      <c r="A69" s="52">
        <v>12</v>
      </c>
      <c r="B69" s="53">
        <v>548</v>
      </c>
      <c r="C69" s="53">
        <v>466</v>
      </c>
      <c r="D69" s="56">
        <v>4</v>
      </c>
    </row>
    <row r="70" spans="1:4" ht="12">
      <c r="A70" s="62">
        <v>13</v>
      </c>
      <c r="B70" s="63">
        <v>576</v>
      </c>
      <c r="C70" s="63">
        <v>486</v>
      </c>
      <c r="D70" s="67"/>
    </row>
  </sheetData>
  <sheetProtection password="EEF6" sheet="1" objects="1" scenarios="1"/>
  <mergeCells count="3">
    <mergeCell ref="I2:Q3"/>
    <mergeCell ref="T3:V3"/>
    <mergeCell ref="A56:D56"/>
  </mergeCells>
  <dataValidations count="7">
    <dataValidation type="date" operator="greaterThan" allowBlank="1" showErrorMessage="1" sqref="B8 B32">
      <formula1>41671</formula1>
    </dataValidation>
    <dataValidation type="whole" allowBlank="1" showErrorMessage="1" sqref="D6">
      <formula1>0</formula1>
      <formula2>29</formula2>
    </dataValidation>
    <dataValidation type="whole" allowBlank="1" showErrorMessage="1" sqref="C6">
      <formula1>0</formula1>
      <formula2>11</formula2>
    </dataValidation>
    <dataValidation type="whole" operator="greaterThanOrEqual" allowBlank="1" showErrorMessage="1" sqref="B6">
      <formula1>0</formula1>
    </dataValidation>
    <dataValidation operator="greaterThanOrEqual" allowBlank="1" showErrorMessage="1" sqref="B3">
      <formula1>0</formula1>
    </dataValidation>
    <dataValidation type="whole" operator="greaterThanOrEqual" allowBlank="1" showErrorMessage="1" sqref="B2">
      <formula1>1</formula1>
    </dataValidation>
    <dataValidation type="list" operator="equal" allowBlank="1" showErrorMessage="1" sqref="B1">
      <formula1>"3,4,5,6"</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Bernard C.</cp:lastModifiedBy>
  <cp:lastPrinted>2016-04-15T13:43:21Z</cp:lastPrinted>
  <dcterms:created xsi:type="dcterms:W3CDTF">2016-04-07T16:35:36Z</dcterms:created>
  <dcterms:modified xsi:type="dcterms:W3CDTF">2016-04-28T12:35:07Z</dcterms:modified>
  <cp:category/>
  <cp:version/>
  <cp:contentType/>
  <cp:contentStatus/>
</cp:coreProperties>
</file>